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wlettit-my.sharepoint.com/personal/ebalderas_rowlett_com/Documents/Desktop/"/>
    </mc:Choice>
  </mc:AlternateContent>
  <xr:revisionPtr revIDLastSave="0" documentId="8_{07DDB5ED-E59D-4743-B49B-F45FAC296CB6}" xr6:coauthVersionLast="47" xr6:coauthVersionMax="47" xr10:uidLastSave="{00000000-0000-0000-0000-000000000000}"/>
  <bookViews>
    <workbookView xWindow="-28920" yWindow="-120" windowWidth="29040" windowHeight="18240" tabRatio="860" activeTab="10" xr2:uid="{27B4801A-ECAB-46D5-A359-D4ED8011972E}"/>
  </bookViews>
  <sheets>
    <sheet name="SUMMARY" sheetId="5" r:id="rId1"/>
    <sheet name="PayrollFY22" sheetId="49" r:id="rId2"/>
    <sheet name="PayrollFY21" sheetId="25" r:id="rId3"/>
    <sheet name="PayrollFY20" sheetId="4" r:id="rId4"/>
    <sheet name="PurchasingARPA22" sheetId="50" r:id="rId5"/>
    <sheet name="PurchasingCOVIDFY22" sheetId="48" r:id="rId6"/>
    <sheet name="PurchasingCOVIDFY21" sheetId="26" r:id="rId7"/>
    <sheet name="PurchasingVACCINEFY21" sheetId="33" r:id="rId8"/>
    <sheet name="PurchasingWinterStorm21" sheetId="36" r:id="rId9"/>
    <sheet name="PurchasingCOVIDFY20" sheetId="2" r:id="rId10"/>
    <sheet name="PurchasingPTR" sheetId="15" r:id="rId11"/>
    <sheet name="BW 7.14.21" sheetId="47" r:id="rId12"/>
    <sheet name="BWPR3.25.20" sheetId="6" r:id="rId13"/>
    <sheet name="ESICK" sheetId="11" r:id="rId14"/>
    <sheet name="ADMIN-COVID" sheetId="12" r:id="rId15"/>
  </sheets>
  <externalReferences>
    <externalReference r:id="rId16"/>
    <externalReference r:id="rId17"/>
  </externalReferences>
  <definedNames>
    <definedName name="_xlnm._FilterDatabase" localSheetId="11" hidden="1">'BW 7.14.21'!$A$3:$A$34</definedName>
    <definedName name="_xlnm._FilterDatabase" localSheetId="12" hidden="1">'BWPR3.25.20'!$A$1:$I$28</definedName>
    <definedName name="_xlnm._FilterDatabase" localSheetId="4" hidden="1">PurchasingARPA22!$A$4:$S$30</definedName>
    <definedName name="_xlnm._FilterDatabase" localSheetId="9" hidden="1">PurchasingCOVIDFY20!$A$4:$T$290</definedName>
    <definedName name="_xlnm._FilterDatabase" localSheetId="6" hidden="1">PurchasingCOVIDFY21!$A$4:$S$107</definedName>
    <definedName name="_xlnm._FilterDatabase" localSheetId="5" hidden="1">PurchasingCOVIDFY22!$A$4:$S$75</definedName>
    <definedName name="_xlnm._FilterDatabase" localSheetId="7" hidden="1">PurchasingVACCINEFY21!$A$4:$S$30</definedName>
    <definedName name="_xlnm._FilterDatabase" localSheetId="8" hidden="1">PurchasingWinterStorm21!$A$4:$S$108</definedName>
    <definedName name="_xlnm.Print_Area" localSheetId="11">'BW 7.14.21'!$A$1:$R$37</definedName>
    <definedName name="_xlnm.Print_Area" localSheetId="4">PurchasingARPA22!$A$1:$P$52</definedName>
    <definedName name="_xlnm.Print_Area" localSheetId="9">PurchasingCOVIDFY20!$A$1:$P$312</definedName>
    <definedName name="_xlnm.Print_Area" localSheetId="6">PurchasingCOVIDFY21!$A$1:$P$129</definedName>
    <definedName name="_xlnm.Print_Area" localSheetId="5">PurchasingCOVIDFY22!$A$1:$P$97</definedName>
    <definedName name="_xlnm.Print_Area" localSheetId="7">PurchasingVACCINEFY21!$A$1:$P$52</definedName>
    <definedName name="_xlnm.Print_Area" localSheetId="8">PurchasingWinterStorm21!$A$1:$P$131</definedName>
    <definedName name="_xlnm.Print_Titles" localSheetId="11">'BW 7.14.21'!$3:$3</definedName>
    <definedName name="_xlnm.Print_Titles" localSheetId="12">'BWPR3.25.20'!$1:$1</definedName>
    <definedName name="_xlnm.Print_Titles" localSheetId="4">PurchasingARPA22!$4:$4</definedName>
    <definedName name="_xlnm.Print_Titles" localSheetId="9">PurchasingCOVIDFY20!$4:$4</definedName>
    <definedName name="_xlnm.Print_Titles" localSheetId="6">PurchasingCOVIDFY21!$4:$4</definedName>
    <definedName name="_xlnm.Print_Titles" localSheetId="5">PurchasingCOVIDFY22!$4:$4</definedName>
    <definedName name="_xlnm.Print_Titles" localSheetId="7">PurchasingVACCINEFY21!$4:$4</definedName>
    <definedName name="_xlnm.Print_Titles" localSheetId="8">PurchasingWinterStorm21!$4:$4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" i="49" l="1"/>
  <c r="E62" i="49"/>
  <c r="AN6" i="49"/>
  <c r="AM6" i="49"/>
  <c r="AN60" i="49"/>
  <c r="I10" i="50"/>
  <c r="C11" i="50"/>
  <c r="C12" i="50" s="1"/>
  <c r="C9" i="50"/>
  <c r="C10" i="50" s="1"/>
  <c r="I47" i="50"/>
  <c r="H47" i="50"/>
  <c r="H46" i="50"/>
  <c r="I45" i="50"/>
  <c r="H45" i="50"/>
  <c r="I44" i="50"/>
  <c r="H44" i="50"/>
  <c r="I43" i="50"/>
  <c r="H43" i="50"/>
  <c r="I42" i="50"/>
  <c r="H42" i="50"/>
  <c r="I41" i="50"/>
  <c r="H41" i="50"/>
  <c r="I40" i="50"/>
  <c r="H40" i="50"/>
  <c r="I39" i="50"/>
  <c r="H39" i="50"/>
  <c r="I38" i="50"/>
  <c r="H38" i="50"/>
  <c r="I37" i="50"/>
  <c r="H37" i="50"/>
  <c r="I36" i="50"/>
  <c r="H36" i="50"/>
  <c r="I35" i="50"/>
  <c r="H35" i="50"/>
  <c r="I34" i="50"/>
  <c r="H34" i="50"/>
  <c r="I33" i="50"/>
  <c r="H33" i="50"/>
  <c r="I32" i="50"/>
  <c r="H32" i="50"/>
  <c r="H26" i="50"/>
  <c r="H28" i="50" s="1"/>
  <c r="H30" i="50" s="1"/>
  <c r="C5" i="5"/>
  <c r="C8" i="5" s="1"/>
  <c r="B5" i="5"/>
  <c r="B4" i="5"/>
  <c r="F44" i="5"/>
  <c r="B50" i="5"/>
  <c r="D51" i="5"/>
  <c r="C40" i="5"/>
  <c r="D37" i="5"/>
  <c r="D36" i="5"/>
  <c r="C32" i="5"/>
  <c r="D29" i="5"/>
  <c r="D28" i="5"/>
  <c r="D32" i="5" s="1"/>
  <c r="C24" i="5"/>
  <c r="D21" i="5"/>
  <c r="D20" i="5"/>
  <c r="D24" i="5" s="1"/>
  <c r="B24" i="5"/>
  <c r="C16" i="5"/>
  <c r="D13" i="5"/>
  <c r="B16" i="5"/>
  <c r="H45" i="5"/>
  <c r="K48" i="5"/>
  <c r="L45" i="5"/>
  <c r="G48" i="5"/>
  <c r="J44" i="5"/>
  <c r="L44" i="5" s="1"/>
  <c r="L48" i="5" s="1"/>
  <c r="H44" i="5"/>
  <c r="F62" i="25"/>
  <c r="E62" i="25"/>
  <c r="D62" i="25"/>
  <c r="F5" i="49"/>
  <c r="F6" i="49"/>
  <c r="F7" i="49"/>
  <c r="F8" i="49"/>
  <c r="F9" i="49"/>
  <c r="F10" i="49"/>
  <c r="F11" i="49"/>
  <c r="F12" i="49"/>
  <c r="F13" i="49"/>
  <c r="F14" i="49"/>
  <c r="F15" i="49"/>
  <c r="E59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1" i="49"/>
  <c r="F42" i="49"/>
  <c r="F43" i="49"/>
  <c r="F44" i="49"/>
  <c r="F45" i="49"/>
  <c r="F46" i="49"/>
  <c r="F47" i="49"/>
  <c r="F48" i="49"/>
  <c r="F49" i="49"/>
  <c r="F50" i="49"/>
  <c r="F51" i="49"/>
  <c r="F52" i="49"/>
  <c r="F53" i="49"/>
  <c r="F54" i="49"/>
  <c r="AG63" i="49"/>
  <c r="S63" i="49"/>
  <c r="F63" i="49"/>
  <c r="AN59" i="49"/>
  <c r="AM59" i="49"/>
  <c r="AM63" i="49" s="1"/>
  <c r="AG59" i="49"/>
  <c r="AF59" i="49"/>
  <c r="AF63" i="49" s="1"/>
  <c r="D62" i="49" s="1"/>
  <c r="S59" i="49"/>
  <c r="R59" i="49"/>
  <c r="R63" i="49" s="1"/>
  <c r="L59" i="49"/>
  <c r="L63" i="49" s="1"/>
  <c r="K59" i="49"/>
  <c r="K63" i="49" s="1"/>
  <c r="AO58" i="49"/>
  <c r="AH58" i="49"/>
  <c r="AE58" i="49"/>
  <c r="AC58" i="49"/>
  <c r="AA58" i="49"/>
  <c r="X58" i="49"/>
  <c r="W58" i="49"/>
  <c r="V58" i="49"/>
  <c r="T58" i="49"/>
  <c r="Q58" i="49"/>
  <c r="AL58" i="49" s="1"/>
  <c r="P58" i="49"/>
  <c r="AK58" i="49" s="1"/>
  <c r="O58" i="49"/>
  <c r="AJ58" i="49" s="1"/>
  <c r="M58" i="49"/>
  <c r="J58" i="49"/>
  <c r="I58" i="49"/>
  <c r="AD58" i="49" s="1"/>
  <c r="H58" i="49"/>
  <c r="F58" i="49"/>
  <c r="AO57" i="49"/>
  <c r="AK57" i="49"/>
  <c r="AH57" i="49"/>
  <c r="AC57" i="49"/>
  <c r="AA57" i="49"/>
  <c r="X57" i="49"/>
  <c r="W57" i="49"/>
  <c r="V57" i="49"/>
  <c r="T57" i="49"/>
  <c r="Q57" i="49"/>
  <c r="AL57" i="49" s="1"/>
  <c r="P57" i="49"/>
  <c r="O57" i="49"/>
  <c r="AJ57" i="49" s="1"/>
  <c r="M57" i="49"/>
  <c r="J57" i="49"/>
  <c r="AE57" i="49" s="1"/>
  <c r="I57" i="49"/>
  <c r="AD57" i="49" s="1"/>
  <c r="H57" i="49"/>
  <c r="F57" i="49"/>
  <c r="AO56" i="49"/>
  <c r="AH56" i="49"/>
  <c r="AA56" i="49"/>
  <c r="X56" i="49"/>
  <c r="W56" i="49"/>
  <c r="V56" i="49"/>
  <c r="T56" i="49"/>
  <c r="Q56" i="49"/>
  <c r="AL56" i="49" s="1"/>
  <c r="P56" i="49"/>
  <c r="AK56" i="49" s="1"/>
  <c r="O56" i="49"/>
  <c r="AJ56" i="49" s="1"/>
  <c r="M56" i="49"/>
  <c r="J56" i="49"/>
  <c r="I56" i="49"/>
  <c r="H56" i="49"/>
  <c r="F56" i="49"/>
  <c r="AO55" i="49"/>
  <c r="AH55" i="49"/>
  <c r="AA55" i="49"/>
  <c r="X55" i="49"/>
  <c r="W55" i="49"/>
  <c r="V55" i="49"/>
  <c r="T55" i="49"/>
  <c r="Q55" i="49"/>
  <c r="AL55" i="49" s="1"/>
  <c r="P55" i="49"/>
  <c r="AK55" i="49" s="1"/>
  <c r="O55" i="49"/>
  <c r="AJ55" i="49" s="1"/>
  <c r="M55" i="49"/>
  <c r="J55" i="49"/>
  <c r="AE55" i="49" s="1"/>
  <c r="I55" i="49"/>
  <c r="AD55" i="49" s="1"/>
  <c r="H55" i="49"/>
  <c r="AC55" i="49" s="1"/>
  <c r="F55" i="49"/>
  <c r="AO54" i="49"/>
  <c r="AH54" i="49"/>
  <c r="AA54" i="49"/>
  <c r="X54" i="49"/>
  <c r="W54" i="49"/>
  <c r="V54" i="49"/>
  <c r="T54" i="49"/>
  <c r="Q54" i="49"/>
  <c r="AL54" i="49" s="1"/>
  <c r="P54" i="49"/>
  <c r="AK54" i="49" s="1"/>
  <c r="O54" i="49"/>
  <c r="AJ54" i="49" s="1"/>
  <c r="M54" i="49"/>
  <c r="J54" i="49"/>
  <c r="AE54" i="49" s="1"/>
  <c r="I54" i="49"/>
  <c r="AD54" i="49" s="1"/>
  <c r="H54" i="49"/>
  <c r="AC54" i="49" s="1"/>
  <c r="AO53" i="49"/>
  <c r="AH53" i="49"/>
  <c r="AA53" i="49"/>
  <c r="X53" i="49"/>
  <c r="W53" i="49"/>
  <c r="V53" i="49"/>
  <c r="T53" i="49"/>
  <c r="Q53" i="49"/>
  <c r="AL53" i="49" s="1"/>
  <c r="P53" i="49"/>
  <c r="AK53" i="49" s="1"/>
  <c r="O53" i="49"/>
  <c r="AJ53" i="49" s="1"/>
  <c r="M53" i="49"/>
  <c r="J53" i="49"/>
  <c r="AE53" i="49" s="1"/>
  <c r="I53" i="49"/>
  <c r="AD53" i="49" s="1"/>
  <c r="H53" i="49"/>
  <c r="AC53" i="49" s="1"/>
  <c r="AO52" i="49"/>
  <c r="AH52" i="49"/>
  <c r="AA52" i="49"/>
  <c r="X52" i="49"/>
  <c r="W52" i="49"/>
  <c r="V52" i="49"/>
  <c r="T52" i="49"/>
  <c r="Q52" i="49"/>
  <c r="AL52" i="49" s="1"/>
  <c r="P52" i="49"/>
  <c r="AK52" i="49" s="1"/>
  <c r="O52" i="49"/>
  <c r="AJ52" i="49" s="1"/>
  <c r="M52" i="49"/>
  <c r="J52" i="49"/>
  <c r="AE52" i="49" s="1"/>
  <c r="I52" i="49"/>
  <c r="AD52" i="49" s="1"/>
  <c r="H52" i="49"/>
  <c r="AC52" i="49" s="1"/>
  <c r="AO51" i="49"/>
  <c r="AH51" i="49"/>
  <c r="AA51" i="49"/>
  <c r="X51" i="49"/>
  <c r="W51" i="49"/>
  <c r="V51" i="49"/>
  <c r="T51" i="49"/>
  <c r="Q51" i="49"/>
  <c r="AL51" i="49" s="1"/>
  <c r="P51" i="49"/>
  <c r="AK51" i="49" s="1"/>
  <c r="O51" i="49"/>
  <c r="AJ51" i="49" s="1"/>
  <c r="M51" i="49"/>
  <c r="J51" i="49"/>
  <c r="AE51" i="49" s="1"/>
  <c r="I51" i="49"/>
  <c r="AD51" i="49" s="1"/>
  <c r="H51" i="49"/>
  <c r="AC51" i="49" s="1"/>
  <c r="AO50" i="49"/>
  <c r="AH50" i="49"/>
  <c r="AA50" i="49"/>
  <c r="X50" i="49"/>
  <c r="W50" i="49"/>
  <c r="V50" i="49"/>
  <c r="T50" i="49"/>
  <c r="Q50" i="49"/>
  <c r="AL50" i="49" s="1"/>
  <c r="P50" i="49"/>
  <c r="AK50" i="49" s="1"/>
  <c r="O50" i="49"/>
  <c r="AJ50" i="49" s="1"/>
  <c r="M50" i="49"/>
  <c r="J50" i="49"/>
  <c r="AE50" i="49" s="1"/>
  <c r="I50" i="49"/>
  <c r="AD50" i="49" s="1"/>
  <c r="H50" i="49"/>
  <c r="AC50" i="49" s="1"/>
  <c r="AO49" i="49"/>
  <c r="AH49" i="49"/>
  <c r="AA49" i="49"/>
  <c r="X49" i="49"/>
  <c r="W49" i="49"/>
  <c r="V49" i="49"/>
  <c r="T49" i="49"/>
  <c r="Q49" i="49"/>
  <c r="AL49" i="49" s="1"/>
  <c r="P49" i="49"/>
  <c r="AK49" i="49" s="1"/>
  <c r="O49" i="49"/>
  <c r="AJ49" i="49" s="1"/>
  <c r="M49" i="49"/>
  <c r="J49" i="49"/>
  <c r="AE49" i="49" s="1"/>
  <c r="I49" i="49"/>
  <c r="AD49" i="49" s="1"/>
  <c r="H49" i="49"/>
  <c r="AC49" i="49" s="1"/>
  <c r="AO48" i="49"/>
  <c r="AH48" i="49"/>
  <c r="AA48" i="49"/>
  <c r="X48" i="49"/>
  <c r="W48" i="49"/>
  <c r="V48" i="49"/>
  <c r="T48" i="49"/>
  <c r="Q48" i="49"/>
  <c r="AL48" i="49" s="1"/>
  <c r="P48" i="49"/>
  <c r="AK48" i="49" s="1"/>
  <c r="O48" i="49"/>
  <c r="AJ48" i="49" s="1"/>
  <c r="M48" i="49"/>
  <c r="J48" i="49"/>
  <c r="AE48" i="49" s="1"/>
  <c r="I48" i="49"/>
  <c r="AD48" i="49" s="1"/>
  <c r="H48" i="49"/>
  <c r="AC48" i="49" s="1"/>
  <c r="AO47" i="49"/>
  <c r="AJ47" i="49"/>
  <c r="AH47" i="49"/>
  <c r="AD47" i="49"/>
  <c r="AA47" i="49"/>
  <c r="X47" i="49"/>
  <c r="W47" i="49"/>
  <c r="V47" i="49"/>
  <c r="T47" i="49"/>
  <c r="Q47" i="49"/>
  <c r="AL47" i="49" s="1"/>
  <c r="P47" i="49"/>
  <c r="AK47" i="49" s="1"/>
  <c r="O47" i="49"/>
  <c r="M47" i="49"/>
  <c r="J47" i="49"/>
  <c r="AE47" i="49" s="1"/>
  <c r="I47" i="49"/>
  <c r="H47" i="49"/>
  <c r="AC47" i="49" s="1"/>
  <c r="AO46" i="49"/>
  <c r="AH46" i="49"/>
  <c r="AA46" i="49"/>
  <c r="X46" i="49"/>
  <c r="W46" i="49"/>
  <c r="V46" i="49"/>
  <c r="T46" i="49"/>
  <c r="Q46" i="49"/>
  <c r="AL46" i="49" s="1"/>
  <c r="P46" i="49"/>
  <c r="AK46" i="49" s="1"/>
  <c r="O46" i="49"/>
  <c r="AJ46" i="49" s="1"/>
  <c r="M46" i="49"/>
  <c r="J46" i="49"/>
  <c r="AE46" i="49" s="1"/>
  <c r="I46" i="49"/>
  <c r="AD46" i="49" s="1"/>
  <c r="H46" i="49"/>
  <c r="AC46" i="49" s="1"/>
  <c r="AO45" i="49"/>
  <c r="AL45" i="49"/>
  <c r="AH45" i="49"/>
  <c r="AA45" i="49"/>
  <c r="X45" i="49"/>
  <c r="W45" i="49"/>
  <c r="V45" i="49"/>
  <c r="T45" i="49"/>
  <c r="Q45" i="49"/>
  <c r="P45" i="49"/>
  <c r="AK45" i="49" s="1"/>
  <c r="O45" i="49"/>
  <c r="AJ45" i="49" s="1"/>
  <c r="M45" i="49"/>
  <c r="J45" i="49"/>
  <c r="AE45" i="49" s="1"/>
  <c r="I45" i="49"/>
  <c r="AD45" i="49" s="1"/>
  <c r="H45" i="49"/>
  <c r="AC45" i="49" s="1"/>
  <c r="AO44" i="49"/>
  <c r="AH44" i="49"/>
  <c r="AA44" i="49"/>
  <c r="X44" i="49"/>
  <c r="W44" i="49"/>
  <c r="V44" i="49"/>
  <c r="T44" i="49"/>
  <c r="Q44" i="49"/>
  <c r="AL44" i="49" s="1"/>
  <c r="P44" i="49"/>
  <c r="AK44" i="49" s="1"/>
  <c r="O44" i="49"/>
  <c r="AJ44" i="49" s="1"/>
  <c r="M44" i="49"/>
  <c r="J44" i="49"/>
  <c r="AE44" i="49" s="1"/>
  <c r="I44" i="49"/>
  <c r="AD44" i="49" s="1"/>
  <c r="H44" i="49"/>
  <c r="AC44" i="49" s="1"/>
  <c r="AO43" i="49"/>
  <c r="AH43" i="49"/>
  <c r="AA43" i="49"/>
  <c r="X43" i="49"/>
  <c r="W43" i="49"/>
  <c r="V43" i="49"/>
  <c r="T43" i="49"/>
  <c r="Q43" i="49"/>
  <c r="AL43" i="49" s="1"/>
  <c r="P43" i="49"/>
  <c r="AK43" i="49" s="1"/>
  <c r="O43" i="49"/>
  <c r="AJ43" i="49" s="1"/>
  <c r="M43" i="49"/>
  <c r="J43" i="49"/>
  <c r="AE43" i="49" s="1"/>
  <c r="I43" i="49"/>
  <c r="AD43" i="49" s="1"/>
  <c r="H43" i="49"/>
  <c r="AC43" i="49" s="1"/>
  <c r="AO42" i="49"/>
  <c r="AH42" i="49"/>
  <c r="AA42" i="49"/>
  <c r="X42" i="49"/>
  <c r="W42" i="49"/>
  <c r="V42" i="49"/>
  <c r="T42" i="49"/>
  <c r="Q42" i="49"/>
  <c r="AL42" i="49" s="1"/>
  <c r="P42" i="49"/>
  <c r="AK42" i="49" s="1"/>
  <c r="O42" i="49"/>
  <c r="AJ42" i="49" s="1"/>
  <c r="M42" i="49"/>
  <c r="J42" i="49"/>
  <c r="AE42" i="49" s="1"/>
  <c r="I42" i="49"/>
  <c r="AD42" i="49" s="1"/>
  <c r="H42" i="49"/>
  <c r="AC42" i="49" s="1"/>
  <c r="AO41" i="49"/>
  <c r="AH41" i="49"/>
  <c r="AA41" i="49"/>
  <c r="X41" i="49"/>
  <c r="W41" i="49"/>
  <c r="V41" i="49"/>
  <c r="T41" i="49"/>
  <c r="Q41" i="49"/>
  <c r="AL41" i="49" s="1"/>
  <c r="P41" i="49"/>
  <c r="AK41" i="49" s="1"/>
  <c r="O41" i="49"/>
  <c r="AJ41" i="49" s="1"/>
  <c r="M41" i="49"/>
  <c r="J41" i="49"/>
  <c r="AE41" i="49" s="1"/>
  <c r="I41" i="49"/>
  <c r="AD41" i="49" s="1"/>
  <c r="H41" i="49"/>
  <c r="AC41" i="49" s="1"/>
  <c r="AO40" i="49"/>
  <c r="AH40" i="49"/>
  <c r="AA40" i="49"/>
  <c r="X40" i="49"/>
  <c r="W40" i="49"/>
  <c r="V40" i="49"/>
  <c r="T40" i="49"/>
  <c r="Q40" i="49"/>
  <c r="AL40" i="49" s="1"/>
  <c r="P40" i="49"/>
  <c r="AK40" i="49" s="1"/>
  <c r="O40" i="49"/>
  <c r="AJ40" i="49" s="1"/>
  <c r="M40" i="49"/>
  <c r="J40" i="49"/>
  <c r="AE40" i="49" s="1"/>
  <c r="I40" i="49"/>
  <c r="AD40" i="49" s="1"/>
  <c r="H40" i="49"/>
  <c r="AC40" i="49" s="1"/>
  <c r="AO39" i="49"/>
  <c r="AH39" i="49"/>
  <c r="AA39" i="49"/>
  <c r="X39" i="49"/>
  <c r="W39" i="49"/>
  <c r="V39" i="49"/>
  <c r="T39" i="49"/>
  <c r="Q39" i="49"/>
  <c r="AL39" i="49" s="1"/>
  <c r="P39" i="49"/>
  <c r="AK39" i="49" s="1"/>
  <c r="O39" i="49"/>
  <c r="AJ39" i="49" s="1"/>
  <c r="M39" i="49"/>
  <c r="J39" i="49"/>
  <c r="AE39" i="49" s="1"/>
  <c r="I39" i="49"/>
  <c r="AD39" i="49" s="1"/>
  <c r="H39" i="49"/>
  <c r="AC39" i="49" s="1"/>
  <c r="AO38" i="49"/>
  <c r="AH38" i="49"/>
  <c r="AA38" i="49"/>
  <c r="X38" i="49"/>
  <c r="W38" i="49"/>
  <c r="V38" i="49"/>
  <c r="T38" i="49"/>
  <c r="Q38" i="49"/>
  <c r="AL38" i="49" s="1"/>
  <c r="P38" i="49"/>
  <c r="AK38" i="49" s="1"/>
  <c r="O38" i="49"/>
  <c r="AJ38" i="49" s="1"/>
  <c r="M38" i="49"/>
  <c r="J38" i="49"/>
  <c r="AE38" i="49" s="1"/>
  <c r="I38" i="49"/>
  <c r="AD38" i="49" s="1"/>
  <c r="H38" i="49"/>
  <c r="AC38" i="49" s="1"/>
  <c r="AO37" i="49"/>
  <c r="AH37" i="49"/>
  <c r="AA37" i="49"/>
  <c r="X37" i="49"/>
  <c r="W37" i="49"/>
  <c r="V37" i="49"/>
  <c r="T37" i="49"/>
  <c r="Q37" i="49"/>
  <c r="AL37" i="49" s="1"/>
  <c r="P37" i="49"/>
  <c r="AK37" i="49" s="1"/>
  <c r="O37" i="49"/>
  <c r="AJ37" i="49" s="1"/>
  <c r="M37" i="49"/>
  <c r="J37" i="49"/>
  <c r="AE37" i="49" s="1"/>
  <c r="I37" i="49"/>
  <c r="AD37" i="49" s="1"/>
  <c r="H37" i="49"/>
  <c r="AC37" i="49" s="1"/>
  <c r="AO36" i="49"/>
  <c r="AH36" i="49"/>
  <c r="AC36" i="49"/>
  <c r="AA36" i="49"/>
  <c r="X36" i="49"/>
  <c r="W36" i="49"/>
  <c r="V36" i="49"/>
  <c r="T36" i="49"/>
  <c r="Q36" i="49"/>
  <c r="AL36" i="49" s="1"/>
  <c r="P36" i="49"/>
  <c r="AK36" i="49" s="1"/>
  <c r="O36" i="49"/>
  <c r="AJ36" i="49" s="1"/>
  <c r="M36" i="49"/>
  <c r="J36" i="49"/>
  <c r="AE36" i="49" s="1"/>
  <c r="I36" i="49"/>
  <c r="AD36" i="49" s="1"/>
  <c r="H36" i="49"/>
  <c r="AO35" i="49"/>
  <c r="AH35" i="49"/>
  <c r="AA35" i="49"/>
  <c r="X35" i="49"/>
  <c r="W35" i="49"/>
  <c r="V35" i="49"/>
  <c r="T35" i="49"/>
  <c r="Q35" i="49"/>
  <c r="AL35" i="49" s="1"/>
  <c r="P35" i="49"/>
  <c r="AK35" i="49" s="1"/>
  <c r="O35" i="49"/>
  <c r="AJ35" i="49" s="1"/>
  <c r="M35" i="49"/>
  <c r="J35" i="49"/>
  <c r="AE35" i="49" s="1"/>
  <c r="I35" i="49"/>
  <c r="AD35" i="49" s="1"/>
  <c r="H35" i="49"/>
  <c r="AC35" i="49" s="1"/>
  <c r="AO34" i="49"/>
  <c r="AH34" i="49"/>
  <c r="AA34" i="49"/>
  <c r="X34" i="49"/>
  <c r="W34" i="49"/>
  <c r="V34" i="49"/>
  <c r="T34" i="49"/>
  <c r="Q34" i="49"/>
  <c r="AL34" i="49" s="1"/>
  <c r="P34" i="49"/>
  <c r="AK34" i="49" s="1"/>
  <c r="O34" i="49"/>
  <c r="AJ34" i="49" s="1"/>
  <c r="M34" i="49"/>
  <c r="J34" i="49"/>
  <c r="AE34" i="49" s="1"/>
  <c r="I34" i="49"/>
  <c r="AD34" i="49" s="1"/>
  <c r="H34" i="49"/>
  <c r="AC34" i="49" s="1"/>
  <c r="AO33" i="49"/>
  <c r="AH33" i="49"/>
  <c r="AA33" i="49"/>
  <c r="X33" i="49"/>
  <c r="W33" i="49"/>
  <c r="V33" i="49"/>
  <c r="T33" i="49"/>
  <c r="Q33" i="49"/>
  <c r="AL33" i="49" s="1"/>
  <c r="P33" i="49"/>
  <c r="AK33" i="49" s="1"/>
  <c r="O33" i="49"/>
  <c r="AJ33" i="49" s="1"/>
  <c r="M33" i="49"/>
  <c r="J33" i="49"/>
  <c r="AE33" i="49" s="1"/>
  <c r="I33" i="49"/>
  <c r="AD33" i="49" s="1"/>
  <c r="H33" i="49"/>
  <c r="AC33" i="49" s="1"/>
  <c r="AO32" i="49"/>
  <c r="AL32" i="49"/>
  <c r="AH32" i="49"/>
  <c r="AA32" i="49"/>
  <c r="X32" i="49"/>
  <c r="W32" i="49"/>
  <c r="V32" i="49"/>
  <c r="T32" i="49"/>
  <c r="Q32" i="49"/>
  <c r="P32" i="49"/>
  <c r="AK32" i="49" s="1"/>
  <c r="O32" i="49"/>
  <c r="AJ32" i="49" s="1"/>
  <c r="M32" i="49"/>
  <c r="J32" i="49"/>
  <c r="AE32" i="49" s="1"/>
  <c r="I32" i="49"/>
  <c r="AD32" i="49" s="1"/>
  <c r="H32" i="49"/>
  <c r="AC32" i="49" s="1"/>
  <c r="AO31" i="49"/>
  <c r="AH31" i="49"/>
  <c r="AA31" i="49"/>
  <c r="X31" i="49"/>
  <c r="W31" i="49"/>
  <c r="V31" i="49"/>
  <c r="T31" i="49"/>
  <c r="Q31" i="49"/>
  <c r="AL31" i="49" s="1"/>
  <c r="P31" i="49"/>
  <c r="AK31" i="49" s="1"/>
  <c r="O31" i="49"/>
  <c r="AJ31" i="49" s="1"/>
  <c r="M31" i="49"/>
  <c r="J31" i="49"/>
  <c r="AE31" i="49" s="1"/>
  <c r="I31" i="49"/>
  <c r="AD31" i="49" s="1"/>
  <c r="H31" i="49"/>
  <c r="AC31" i="49" s="1"/>
  <c r="AO30" i="49"/>
  <c r="AL30" i="49"/>
  <c r="AH30" i="49"/>
  <c r="AA30" i="49"/>
  <c r="X30" i="49"/>
  <c r="W30" i="49"/>
  <c r="V30" i="49"/>
  <c r="T30" i="49"/>
  <c r="Q30" i="49"/>
  <c r="P30" i="49"/>
  <c r="AK30" i="49" s="1"/>
  <c r="O30" i="49"/>
  <c r="AJ30" i="49" s="1"/>
  <c r="M30" i="49"/>
  <c r="J30" i="49"/>
  <c r="AE30" i="49" s="1"/>
  <c r="I30" i="49"/>
  <c r="AD30" i="49" s="1"/>
  <c r="H30" i="49"/>
  <c r="AC30" i="49" s="1"/>
  <c r="AO29" i="49"/>
  <c r="AH29" i="49"/>
  <c r="AA29" i="49"/>
  <c r="X29" i="49"/>
  <c r="W29" i="49"/>
  <c r="V29" i="49"/>
  <c r="T29" i="49"/>
  <c r="Q29" i="49"/>
  <c r="AL29" i="49" s="1"/>
  <c r="P29" i="49"/>
  <c r="AK29" i="49" s="1"/>
  <c r="O29" i="49"/>
  <c r="AJ29" i="49" s="1"/>
  <c r="M29" i="49"/>
  <c r="J29" i="49"/>
  <c r="AE29" i="49" s="1"/>
  <c r="I29" i="49"/>
  <c r="AD29" i="49" s="1"/>
  <c r="H29" i="49"/>
  <c r="AC29" i="49" s="1"/>
  <c r="AO28" i="49"/>
  <c r="AH28" i="49"/>
  <c r="AA28" i="49"/>
  <c r="X28" i="49"/>
  <c r="W28" i="49"/>
  <c r="V28" i="49"/>
  <c r="T28" i="49"/>
  <c r="Q28" i="49"/>
  <c r="AL28" i="49" s="1"/>
  <c r="P28" i="49"/>
  <c r="AK28" i="49" s="1"/>
  <c r="O28" i="49"/>
  <c r="AJ28" i="49" s="1"/>
  <c r="M28" i="49"/>
  <c r="J28" i="49"/>
  <c r="AE28" i="49" s="1"/>
  <c r="I28" i="49"/>
  <c r="AD28" i="49" s="1"/>
  <c r="H28" i="49"/>
  <c r="AC28" i="49" s="1"/>
  <c r="AO27" i="49"/>
  <c r="AH27" i="49"/>
  <c r="AA27" i="49"/>
  <c r="X27" i="49"/>
  <c r="W27" i="49"/>
  <c r="V27" i="49"/>
  <c r="T27" i="49"/>
  <c r="Q27" i="49"/>
  <c r="AL27" i="49" s="1"/>
  <c r="P27" i="49"/>
  <c r="AK27" i="49" s="1"/>
  <c r="O27" i="49"/>
  <c r="AJ27" i="49" s="1"/>
  <c r="M27" i="49"/>
  <c r="J27" i="49"/>
  <c r="AE27" i="49" s="1"/>
  <c r="I27" i="49"/>
  <c r="AD27" i="49" s="1"/>
  <c r="H27" i="49"/>
  <c r="AC27" i="49" s="1"/>
  <c r="AO26" i="49"/>
  <c r="AH26" i="49"/>
  <c r="AA26" i="49"/>
  <c r="X26" i="49"/>
  <c r="W26" i="49"/>
  <c r="V26" i="49"/>
  <c r="T26" i="49"/>
  <c r="Q26" i="49"/>
  <c r="AL26" i="49" s="1"/>
  <c r="P26" i="49"/>
  <c r="AK26" i="49" s="1"/>
  <c r="O26" i="49"/>
  <c r="AJ26" i="49" s="1"/>
  <c r="M26" i="49"/>
  <c r="J26" i="49"/>
  <c r="AE26" i="49" s="1"/>
  <c r="I26" i="49"/>
  <c r="AD26" i="49" s="1"/>
  <c r="H26" i="49"/>
  <c r="AC26" i="49" s="1"/>
  <c r="AO25" i="49"/>
  <c r="AL25" i="49"/>
  <c r="AH25" i="49"/>
  <c r="AA25" i="49"/>
  <c r="X25" i="49"/>
  <c r="W25" i="49"/>
  <c r="V25" i="49"/>
  <c r="T25" i="49"/>
  <c r="Q25" i="49"/>
  <c r="P25" i="49"/>
  <c r="AK25" i="49" s="1"/>
  <c r="O25" i="49"/>
  <c r="AJ25" i="49" s="1"/>
  <c r="M25" i="49"/>
  <c r="J25" i="49"/>
  <c r="AE25" i="49" s="1"/>
  <c r="I25" i="49"/>
  <c r="AD25" i="49" s="1"/>
  <c r="H25" i="49"/>
  <c r="AC25" i="49" s="1"/>
  <c r="AO24" i="49"/>
  <c r="AH24" i="49"/>
  <c r="AA24" i="49"/>
  <c r="X24" i="49"/>
  <c r="W24" i="49"/>
  <c r="V24" i="49"/>
  <c r="T24" i="49"/>
  <c r="Q24" i="49"/>
  <c r="AL24" i="49" s="1"/>
  <c r="P24" i="49"/>
  <c r="AK24" i="49" s="1"/>
  <c r="O24" i="49"/>
  <c r="AJ24" i="49" s="1"/>
  <c r="M24" i="49"/>
  <c r="J24" i="49"/>
  <c r="AE24" i="49" s="1"/>
  <c r="I24" i="49"/>
  <c r="AD24" i="49" s="1"/>
  <c r="H24" i="49"/>
  <c r="AC24" i="49" s="1"/>
  <c r="AO23" i="49"/>
  <c r="AH23" i="49"/>
  <c r="AA23" i="49"/>
  <c r="X23" i="49"/>
  <c r="W23" i="49"/>
  <c r="V23" i="49"/>
  <c r="T23" i="49"/>
  <c r="Q23" i="49"/>
  <c r="AL23" i="49" s="1"/>
  <c r="P23" i="49"/>
  <c r="AK23" i="49" s="1"/>
  <c r="O23" i="49"/>
  <c r="AJ23" i="49" s="1"/>
  <c r="M23" i="49"/>
  <c r="J23" i="49"/>
  <c r="AE23" i="49" s="1"/>
  <c r="I23" i="49"/>
  <c r="AD23" i="49" s="1"/>
  <c r="H23" i="49"/>
  <c r="AC23" i="49" s="1"/>
  <c r="AO22" i="49"/>
  <c r="AH22" i="49"/>
  <c r="AA22" i="49"/>
  <c r="X22" i="49"/>
  <c r="W22" i="49"/>
  <c r="V22" i="49"/>
  <c r="T22" i="49"/>
  <c r="Q22" i="49"/>
  <c r="AL22" i="49" s="1"/>
  <c r="P22" i="49"/>
  <c r="AK22" i="49" s="1"/>
  <c r="O22" i="49"/>
  <c r="AJ22" i="49" s="1"/>
  <c r="M22" i="49"/>
  <c r="J22" i="49"/>
  <c r="AE22" i="49" s="1"/>
  <c r="I22" i="49"/>
  <c r="AD22" i="49" s="1"/>
  <c r="H22" i="49"/>
  <c r="AC22" i="49" s="1"/>
  <c r="AO21" i="49"/>
  <c r="AH21" i="49"/>
  <c r="AA21" i="49"/>
  <c r="X21" i="49"/>
  <c r="W21" i="49"/>
  <c r="V21" i="49"/>
  <c r="T21" i="49"/>
  <c r="Q21" i="49"/>
  <c r="AL21" i="49" s="1"/>
  <c r="P21" i="49"/>
  <c r="AK21" i="49" s="1"/>
  <c r="O21" i="49"/>
  <c r="AJ21" i="49" s="1"/>
  <c r="M21" i="49"/>
  <c r="J21" i="49"/>
  <c r="AE21" i="49" s="1"/>
  <c r="I21" i="49"/>
  <c r="AD21" i="49" s="1"/>
  <c r="H21" i="49"/>
  <c r="AC21" i="49" s="1"/>
  <c r="AO20" i="49"/>
  <c r="AH20" i="49"/>
  <c r="AA20" i="49"/>
  <c r="X20" i="49"/>
  <c r="W20" i="49"/>
  <c r="V20" i="49"/>
  <c r="T20" i="49"/>
  <c r="Q20" i="49"/>
  <c r="AL20" i="49" s="1"/>
  <c r="P20" i="49"/>
  <c r="AK20" i="49" s="1"/>
  <c r="O20" i="49"/>
  <c r="AJ20" i="49" s="1"/>
  <c r="M20" i="49"/>
  <c r="J20" i="49"/>
  <c r="AE20" i="49" s="1"/>
  <c r="I20" i="49"/>
  <c r="AD20" i="49" s="1"/>
  <c r="H20" i="49"/>
  <c r="AC20" i="49" s="1"/>
  <c r="AO19" i="49"/>
  <c r="AH19" i="49"/>
  <c r="Z59" i="49"/>
  <c r="Z63" i="49" s="1"/>
  <c r="Y59" i="49"/>
  <c r="Y63" i="49" s="1"/>
  <c r="X19" i="49"/>
  <c r="W19" i="49"/>
  <c r="V19" i="49"/>
  <c r="T19" i="49"/>
  <c r="Q19" i="49"/>
  <c r="AL19" i="49" s="1"/>
  <c r="P19" i="49"/>
  <c r="AK19" i="49" s="1"/>
  <c r="O19" i="49"/>
  <c r="AJ19" i="49" s="1"/>
  <c r="M19" i="49"/>
  <c r="J19" i="49"/>
  <c r="AE19" i="49" s="1"/>
  <c r="I19" i="49"/>
  <c r="AD19" i="49" s="1"/>
  <c r="H19" i="49"/>
  <c r="AC19" i="49" s="1"/>
  <c r="AO18" i="49"/>
  <c r="AH18" i="49"/>
  <c r="AA18" i="49"/>
  <c r="X18" i="49"/>
  <c r="W18" i="49"/>
  <c r="V18" i="49"/>
  <c r="T18" i="49"/>
  <c r="Q18" i="49"/>
  <c r="AL18" i="49" s="1"/>
  <c r="P18" i="49"/>
  <c r="AK18" i="49" s="1"/>
  <c r="O18" i="49"/>
  <c r="AJ18" i="49" s="1"/>
  <c r="M18" i="49"/>
  <c r="J18" i="49"/>
  <c r="AE18" i="49" s="1"/>
  <c r="I18" i="49"/>
  <c r="AD18" i="49" s="1"/>
  <c r="H18" i="49"/>
  <c r="AC18" i="49" s="1"/>
  <c r="AO17" i="49"/>
  <c r="AH17" i="49"/>
  <c r="AA17" i="49"/>
  <c r="X17" i="49"/>
  <c r="W17" i="49"/>
  <c r="V17" i="49"/>
  <c r="T17" i="49"/>
  <c r="Q17" i="49"/>
  <c r="AL17" i="49" s="1"/>
  <c r="P17" i="49"/>
  <c r="AK17" i="49" s="1"/>
  <c r="O17" i="49"/>
  <c r="AJ17" i="49" s="1"/>
  <c r="M17" i="49"/>
  <c r="J17" i="49"/>
  <c r="AE17" i="49" s="1"/>
  <c r="I17" i="49"/>
  <c r="AD17" i="49" s="1"/>
  <c r="H17" i="49"/>
  <c r="AC17" i="49" s="1"/>
  <c r="AO16" i="49"/>
  <c r="AH16" i="49"/>
  <c r="AA16" i="49"/>
  <c r="X16" i="49"/>
  <c r="W16" i="49"/>
  <c r="V16" i="49"/>
  <c r="T16" i="49"/>
  <c r="Q16" i="49"/>
  <c r="AL16" i="49" s="1"/>
  <c r="P16" i="49"/>
  <c r="AK16" i="49" s="1"/>
  <c r="O16" i="49"/>
  <c r="AJ16" i="49" s="1"/>
  <c r="M16" i="49"/>
  <c r="J16" i="49"/>
  <c r="AE16" i="49" s="1"/>
  <c r="I16" i="49"/>
  <c r="AD16" i="49" s="1"/>
  <c r="H16" i="49"/>
  <c r="AC16" i="49" s="1"/>
  <c r="AO15" i="49"/>
  <c r="AH15" i="49"/>
  <c r="AA15" i="49"/>
  <c r="X15" i="49"/>
  <c r="W15" i="49"/>
  <c r="V15" i="49"/>
  <c r="T15" i="49"/>
  <c r="Q15" i="49"/>
  <c r="AL15" i="49" s="1"/>
  <c r="P15" i="49"/>
  <c r="AK15" i="49" s="1"/>
  <c r="O15" i="49"/>
  <c r="AJ15" i="49" s="1"/>
  <c r="M15" i="49"/>
  <c r="J15" i="49"/>
  <c r="AE15" i="49" s="1"/>
  <c r="I15" i="49"/>
  <c r="AD15" i="49" s="1"/>
  <c r="H15" i="49"/>
  <c r="AC15" i="49" s="1"/>
  <c r="AO14" i="49"/>
  <c r="AJ14" i="49"/>
  <c r="AH14" i="49"/>
  <c r="AA14" i="49"/>
  <c r="X14" i="49"/>
  <c r="W14" i="49"/>
  <c r="V14" i="49"/>
  <c r="T14" i="49"/>
  <c r="Q14" i="49"/>
  <c r="AL14" i="49" s="1"/>
  <c r="P14" i="49"/>
  <c r="AK14" i="49" s="1"/>
  <c r="O14" i="49"/>
  <c r="M14" i="49"/>
  <c r="J14" i="49"/>
  <c r="AE14" i="49" s="1"/>
  <c r="I14" i="49"/>
  <c r="AD14" i="49" s="1"/>
  <c r="H14" i="49"/>
  <c r="AC14" i="49" s="1"/>
  <c r="AO13" i="49"/>
  <c r="AJ13" i="49"/>
  <c r="AH13" i="49"/>
  <c r="AA13" i="49"/>
  <c r="X13" i="49"/>
  <c r="W13" i="49"/>
  <c r="V13" i="49"/>
  <c r="T13" i="49"/>
  <c r="Q13" i="49"/>
  <c r="AL13" i="49" s="1"/>
  <c r="P13" i="49"/>
  <c r="AK13" i="49" s="1"/>
  <c r="O13" i="49"/>
  <c r="M13" i="49"/>
  <c r="J13" i="49"/>
  <c r="AE13" i="49" s="1"/>
  <c r="I13" i="49"/>
  <c r="AD13" i="49" s="1"/>
  <c r="H13" i="49"/>
  <c r="AC13" i="49" s="1"/>
  <c r="AO12" i="49"/>
  <c r="AH12" i="49"/>
  <c r="AA12" i="49"/>
  <c r="X12" i="49"/>
  <c r="W12" i="49"/>
  <c r="V12" i="49"/>
  <c r="T12" i="49"/>
  <c r="Q12" i="49"/>
  <c r="AL12" i="49" s="1"/>
  <c r="P12" i="49"/>
  <c r="AK12" i="49" s="1"/>
  <c r="O12" i="49"/>
  <c r="AJ12" i="49" s="1"/>
  <c r="M12" i="49"/>
  <c r="J12" i="49"/>
  <c r="AE12" i="49" s="1"/>
  <c r="I12" i="49"/>
  <c r="AD12" i="49" s="1"/>
  <c r="H12" i="49"/>
  <c r="AC12" i="49" s="1"/>
  <c r="AO11" i="49"/>
  <c r="AH11" i="49"/>
  <c r="AA11" i="49"/>
  <c r="X11" i="49"/>
  <c r="W11" i="49"/>
  <c r="V11" i="49"/>
  <c r="T11" i="49"/>
  <c r="Q11" i="49"/>
  <c r="AL11" i="49" s="1"/>
  <c r="P11" i="49"/>
  <c r="AK11" i="49" s="1"/>
  <c r="O11" i="49"/>
  <c r="AJ11" i="49" s="1"/>
  <c r="M11" i="49"/>
  <c r="J11" i="49"/>
  <c r="AE11" i="49" s="1"/>
  <c r="I11" i="49"/>
  <c r="AD11" i="49" s="1"/>
  <c r="H11" i="49"/>
  <c r="AC11" i="49" s="1"/>
  <c r="AO10" i="49"/>
  <c r="AH10" i="49"/>
  <c r="AA10" i="49"/>
  <c r="X10" i="49"/>
  <c r="W10" i="49"/>
  <c r="V10" i="49"/>
  <c r="T10" i="49"/>
  <c r="Q10" i="49"/>
  <c r="AL10" i="49" s="1"/>
  <c r="P10" i="49"/>
  <c r="AK10" i="49" s="1"/>
  <c r="O10" i="49"/>
  <c r="AJ10" i="49" s="1"/>
  <c r="M10" i="49"/>
  <c r="J10" i="49"/>
  <c r="AE10" i="49" s="1"/>
  <c r="I10" i="49"/>
  <c r="AD10" i="49" s="1"/>
  <c r="H10" i="49"/>
  <c r="AC10" i="49" s="1"/>
  <c r="AO9" i="49"/>
  <c r="AH9" i="49"/>
  <c r="AA9" i="49"/>
  <c r="X9" i="49"/>
  <c r="W9" i="49"/>
  <c r="V9" i="49"/>
  <c r="T9" i="49"/>
  <c r="Q9" i="49"/>
  <c r="AL9" i="49" s="1"/>
  <c r="P9" i="49"/>
  <c r="AK9" i="49" s="1"/>
  <c r="O9" i="49"/>
  <c r="AJ9" i="49" s="1"/>
  <c r="M9" i="49"/>
  <c r="J9" i="49"/>
  <c r="AE9" i="49" s="1"/>
  <c r="I9" i="49"/>
  <c r="AD9" i="49" s="1"/>
  <c r="H9" i="49"/>
  <c r="AC9" i="49" s="1"/>
  <c r="AO8" i="49"/>
  <c r="AK8" i="49"/>
  <c r="AH8" i="49"/>
  <c r="AA8" i="49"/>
  <c r="X8" i="49"/>
  <c r="W8" i="49"/>
  <c r="V8" i="49"/>
  <c r="T8" i="49"/>
  <c r="Q8" i="49"/>
  <c r="AL8" i="49" s="1"/>
  <c r="P8" i="49"/>
  <c r="O8" i="49"/>
  <c r="AJ8" i="49" s="1"/>
  <c r="M8" i="49"/>
  <c r="J8" i="49"/>
  <c r="AE8" i="49" s="1"/>
  <c r="I8" i="49"/>
  <c r="AD8" i="49" s="1"/>
  <c r="H8" i="49"/>
  <c r="AC8" i="49" s="1"/>
  <c r="AO7" i="49"/>
  <c r="AH7" i="49"/>
  <c r="AA7" i="49"/>
  <c r="X7" i="49"/>
  <c r="W7" i="49"/>
  <c r="V7" i="49"/>
  <c r="T7" i="49"/>
  <c r="Q7" i="49"/>
  <c r="AL7" i="49" s="1"/>
  <c r="P7" i="49"/>
  <c r="AK7" i="49" s="1"/>
  <c r="O7" i="49"/>
  <c r="AJ7" i="49" s="1"/>
  <c r="M7" i="49"/>
  <c r="J7" i="49"/>
  <c r="AE7" i="49" s="1"/>
  <c r="I7" i="49"/>
  <c r="AD7" i="49" s="1"/>
  <c r="H7" i="49"/>
  <c r="AC7" i="49" s="1"/>
  <c r="AO6" i="49"/>
  <c r="AH6" i="49"/>
  <c r="AA6" i="49"/>
  <c r="X6" i="49"/>
  <c r="W6" i="49"/>
  <c r="V6" i="49"/>
  <c r="T6" i="49"/>
  <c r="T59" i="49" s="1"/>
  <c r="T63" i="49" s="1"/>
  <c r="Q6" i="49"/>
  <c r="AL6" i="49" s="1"/>
  <c r="P6" i="49"/>
  <c r="AK6" i="49" s="1"/>
  <c r="O6" i="49"/>
  <c r="AJ6" i="49" s="1"/>
  <c r="M6" i="49"/>
  <c r="J6" i="49"/>
  <c r="AE6" i="49" s="1"/>
  <c r="I6" i="49"/>
  <c r="AD6" i="49" s="1"/>
  <c r="H6" i="49"/>
  <c r="AC6" i="49" s="1"/>
  <c r="AO5" i="49"/>
  <c r="AH5" i="49"/>
  <c r="AH59" i="49" s="1"/>
  <c r="AH63" i="49" s="1"/>
  <c r="AA5" i="49"/>
  <c r="X5" i="49"/>
  <c r="W5" i="49"/>
  <c r="V5" i="49"/>
  <c r="T5" i="49"/>
  <c r="Q5" i="49"/>
  <c r="AL5" i="49" s="1"/>
  <c r="P5" i="49"/>
  <c r="AK5" i="49" s="1"/>
  <c r="O5" i="49"/>
  <c r="AJ5" i="49" s="1"/>
  <c r="M5" i="49"/>
  <c r="M59" i="49" s="1"/>
  <c r="M63" i="49" s="1"/>
  <c r="J5" i="49"/>
  <c r="AE5" i="49" s="1"/>
  <c r="I5" i="49"/>
  <c r="AD5" i="49" s="1"/>
  <c r="H5" i="49"/>
  <c r="AC5" i="49" s="1"/>
  <c r="V4" i="49"/>
  <c r="O4" i="49"/>
  <c r="AJ4" i="49" s="1"/>
  <c r="H4" i="49"/>
  <c r="AC4" i="49" s="1"/>
  <c r="AN63" i="25"/>
  <c r="AN59" i="25"/>
  <c r="AM59" i="25"/>
  <c r="AM63" i="25" s="1"/>
  <c r="AO58" i="25"/>
  <c r="AL58" i="25"/>
  <c r="AK58" i="25"/>
  <c r="AJ58" i="25"/>
  <c r="AO57" i="25"/>
  <c r="AL57" i="25"/>
  <c r="AK57" i="25"/>
  <c r="AJ57" i="25"/>
  <c r="AO56" i="25"/>
  <c r="AL56" i="25"/>
  <c r="AJ56" i="25"/>
  <c r="AO55" i="25"/>
  <c r="AL55" i="25"/>
  <c r="AK55" i="25"/>
  <c r="AJ55" i="25"/>
  <c r="AO54" i="25"/>
  <c r="AL54" i="25"/>
  <c r="AK54" i="25"/>
  <c r="AJ54" i="25"/>
  <c r="AO53" i="25"/>
  <c r="AL53" i="25"/>
  <c r="AK53" i="25"/>
  <c r="AJ53" i="25"/>
  <c r="AO52" i="25"/>
  <c r="AL52" i="25"/>
  <c r="AK52" i="25"/>
  <c r="AJ52" i="25"/>
  <c r="AO51" i="25"/>
  <c r="AL51" i="25"/>
  <c r="AK51" i="25"/>
  <c r="AJ51" i="25"/>
  <c r="AO50" i="25"/>
  <c r="AL50" i="25"/>
  <c r="AK50" i="25"/>
  <c r="AJ50" i="25"/>
  <c r="AO49" i="25"/>
  <c r="AL49" i="25"/>
  <c r="AK49" i="25"/>
  <c r="AJ49" i="25"/>
  <c r="AO48" i="25"/>
  <c r="AL48" i="25"/>
  <c r="AK48" i="25"/>
  <c r="AJ48" i="25"/>
  <c r="AO47" i="25"/>
  <c r="AL47" i="25"/>
  <c r="AK47" i="25"/>
  <c r="AJ47" i="25"/>
  <c r="AO46" i="25"/>
  <c r="AL46" i="25"/>
  <c r="AK46" i="25"/>
  <c r="AJ46" i="25"/>
  <c r="AO45" i="25"/>
  <c r="AL45" i="25"/>
  <c r="AK45" i="25"/>
  <c r="AJ45" i="25"/>
  <c r="AO44" i="25"/>
  <c r="AL44" i="25"/>
  <c r="AK44" i="25"/>
  <c r="AJ44" i="25"/>
  <c r="AO43" i="25"/>
  <c r="AL43" i="25"/>
  <c r="AK43" i="25"/>
  <c r="AJ43" i="25"/>
  <c r="AO42" i="25"/>
  <c r="AL42" i="25"/>
  <c r="AK42" i="25"/>
  <c r="AJ42" i="25"/>
  <c r="AO41" i="25"/>
  <c r="AL41" i="25"/>
  <c r="AK41" i="25"/>
  <c r="AJ41" i="25"/>
  <c r="AO40" i="25"/>
  <c r="AL40" i="25"/>
  <c r="AK40" i="25"/>
  <c r="AJ40" i="25"/>
  <c r="AO39" i="25"/>
  <c r="AL39" i="25"/>
  <c r="AK39" i="25"/>
  <c r="AJ39" i="25"/>
  <c r="AO38" i="25"/>
  <c r="AL38" i="25"/>
  <c r="AK38" i="25"/>
  <c r="AJ38" i="25"/>
  <c r="AO37" i="25"/>
  <c r="AL37" i="25"/>
  <c r="AK37" i="25"/>
  <c r="AJ37" i="25"/>
  <c r="AO36" i="25"/>
  <c r="AL36" i="25"/>
  <c r="AK36" i="25"/>
  <c r="AJ36" i="25"/>
  <c r="AO35" i="25"/>
  <c r="AL35" i="25"/>
  <c r="AK35" i="25"/>
  <c r="AJ35" i="25"/>
  <c r="AO34" i="25"/>
  <c r="AL34" i="25"/>
  <c r="AK34" i="25"/>
  <c r="AJ34" i="25"/>
  <c r="AO33" i="25"/>
  <c r="AL33" i="25"/>
  <c r="AK33" i="25"/>
  <c r="AJ33" i="25"/>
  <c r="AO32" i="25"/>
  <c r="AL32" i="25"/>
  <c r="AK32" i="25"/>
  <c r="AJ32" i="25"/>
  <c r="AO31" i="25"/>
  <c r="AL31" i="25"/>
  <c r="AK31" i="25"/>
  <c r="AJ31" i="25"/>
  <c r="AO30" i="25"/>
  <c r="AL30" i="25"/>
  <c r="AK30" i="25"/>
  <c r="AJ30" i="25"/>
  <c r="AO29" i="25"/>
  <c r="AL29" i="25"/>
  <c r="AK29" i="25"/>
  <c r="AJ29" i="25"/>
  <c r="AO28" i="25"/>
  <c r="AL28" i="25"/>
  <c r="AK28" i="25"/>
  <c r="AJ28" i="25"/>
  <c r="AO27" i="25"/>
  <c r="AL27" i="25"/>
  <c r="AK27" i="25"/>
  <c r="AJ27" i="25"/>
  <c r="AO26" i="25"/>
  <c r="AL26" i="25"/>
  <c r="AK26" i="25"/>
  <c r="AJ26" i="25"/>
  <c r="AO25" i="25"/>
  <c r="AL25" i="25"/>
  <c r="AK25" i="25"/>
  <c r="AJ25" i="25"/>
  <c r="AO24" i="25"/>
  <c r="AL24" i="25"/>
  <c r="AK24" i="25"/>
  <c r="AJ24" i="25"/>
  <c r="AO23" i="25"/>
  <c r="AL23" i="25"/>
  <c r="AK23" i="25"/>
  <c r="AJ23" i="25"/>
  <c r="AO22" i="25"/>
  <c r="AL22" i="25"/>
  <c r="AK22" i="25"/>
  <c r="AJ22" i="25"/>
  <c r="AO21" i="25"/>
  <c r="AL21" i="25"/>
  <c r="AK21" i="25"/>
  <c r="AJ21" i="25"/>
  <c r="AO20" i="25"/>
  <c r="AL20" i="25"/>
  <c r="AK20" i="25"/>
  <c r="AJ20" i="25"/>
  <c r="AO19" i="25"/>
  <c r="AL19" i="25"/>
  <c r="AK19" i="25"/>
  <c r="AJ19" i="25"/>
  <c r="AO18" i="25"/>
  <c r="AL18" i="25"/>
  <c r="AK18" i="25"/>
  <c r="AJ18" i="25"/>
  <c r="AO17" i="25"/>
  <c r="AL17" i="25"/>
  <c r="AK17" i="25"/>
  <c r="AJ17" i="25"/>
  <c r="AO16" i="25"/>
  <c r="AL16" i="25"/>
  <c r="AK16" i="25"/>
  <c r="AJ16" i="25"/>
  <c r="AO15" i="25"/>
  <c r="AL15" i="25"/>
  <c r="AK15" i="25"/>
  <c r="AJ15" i="25"/>
  <c r="AO14" i="25"/>
  <c r="AL14" i="25"/>
  <c r="AK14" i="25"/>
  <c r="AJ14" i="25"/>
  <c r="AO13" i="25"/>
  <c r="AL13" i="25"/>
  <c r="AK13" i="25"/>
  <c r="AJ13" i="25"/>
  <c r="AO12" i="25"/>
  <c r="AL12" i="25"/>
  <c r="AK12" i="25"/>
  <c r="AJ12" i="25"/>
  <c r="AO11" i="25"/>
  <c r="AL11" i="25"/>
  <c r="AK11" i="25"/>
  <c r="AJ11" i="25"/>
  <c r="AO10" i="25"/>
  <c r="AL10" i="25"/>
  <c r="AK10" i="25"/>
  <c r="AJ10" i="25"/>
  <c r="AO9" i="25"/>
  <c r="AL9" i="25"/>
  <c r="AK9" i="25"/>
  <c r="AJ9" i="25"/>
  <c r="AO8" i="25"/>
  <c r="AL8" i="25"/>
  <c r="AK8" i="25"/>
  <c r="AJ8" i="25"/>
  <c r="AO7" i="25"/>
  <c r="AL7" i="25"/>
  <c r="AK7" i="25"/>
  <c r="AJ7" i="25"/>
  <c r="AO6" i="25"/>
  <c r="AL6" i="25"/>
  <c r="AK6" i="25"/>
  <c r="AJ6" i="25"/>
  <c r="AO5" i="25"/>
  <c r="AL5" i="25"/>
  <c r="AK5" i="25"/>
  <c r="AJ5" i="25"/>
  <c r="AJ4" i="25"/>
  <c r="H74" i="36"/>
  <c r="H82" i="26"/>
  <c r="H55" i="48"/>
  <c r="H80" i="26"/>
  <c r="H63" i="26"/>
  <c r="H66" i="26"/>
  <c r="H57" i="26"/>
  <c r="H59" i="26"/>
  <c r="H54" i="26"/>
  <c r="I92" i="48"/>
  <c r="H92" i="48"/>
  <c r="I90" i="48"/>
  <c r="H90" i="48"/>
  <c r="I89" i="48"/>
  <c r="I88" i="48"/>
  <c r="H88" i="48"/>
  <c r="I87" i="48"/>
  <c r="H87" i="48"/>
  <c r="I86" i="48"/>
  <c r="H86" i="48"/>
  <c r="I85" i="48"/>
  <c r="H85" i="48"/>
  <c r="I84" i="48"/>
  <c r="H84" i="48"/>
  <c r="I83" i="48"/>
  <c r="H83" i="48"/>
  <c r="I82" i="48"/>
  <c r="H82" i="48"/>
  <c r="I81" i="48"/>
  <c r="H81" i="48"/>
  <c r="I80" i="48"/>
  <c r="H80" i="48"/>
  <c r="I79" i="48"/>
  <c r="H79" i="48"/>
  <c r="I78" i="48"/>
  <c r="H89" i="48"/>
  <c r="I77" i="48"/>
  <c r="H91" i="48"/>
  <c r="H78" i="48"/>
  <c r="H29" i="26"/>
  <c r="H95" i="26"/>
  <c r="D59" i="25"/>
  <c r="O34" i="47"/>
  <c r="N34" i="47"/>
  <c r="K34" i="47"/>
  <c r="J34" i="47"/>
  <c r="G34" i="47"/>
  <c r="F34" i="47"/>
  <c r="O33" i="47"/>
  <c r="N33" i="47"/>
  <c r="K33" i="47"/>
  <c r="J33" i="47"/>
  <c r="G33" i="47"/>
  <c r="F33" i="47"/>
  <c r="O32" i="47"/>
  <c r="N32" i="47"/>
  <c r="K32" i="47"/>
  <c r="J32" i="47"/>
  <c r="G32" i="47"/>
  <c r="F32" i="47"/>
  <c r="O31" i="47"/>
  <c r="N31" i="47"/>
  <c r="K31" i="47"/>
  <c r="J31" i="47"/>
  <c r="G31" i="47"/>
  <c r="F31" i="47"/>
  <c r="O30" i="47"/>
  <c r="N30" i="47"/>
  <c r="K30" i="47"/>
  <c r="J30" i="47"/>
  <c r="G30" i="47"/>
  <c r="F30" i="47"/>
  <c r="O29" i="47"/>
  <c r="N29" i="47"/>
  <c r="K29" i="47"/>
  <c r="J29" i="47"/>
  <c r="G29" i="47"/>
  <c r="F29" i="47"/>
  <c r="O28" i="47"/>
  <c r="N28" i="47"/>
  <c r="K28" i="47"/>
  <c r="J28" i="47"/>
  <c r="G28" i="47"/>
  <c r="F28" i="47"/>
  <c r="O27" i="47"/>
  <c r="N27" i="47"/>
  <c r="K27" i="47"/>
  <c r="J27" i="47"/>
  <c r="G27" i="47"/>
  <c r="F27" i="47"/>
  <c r="O26" i="47"/>
  <c r="N26" i="47"/>
  <c r="K26" i="47"/>
  <c r="J26" i="47"/>
  <c r="G26" i="47"/>
  <c r="F26" i="47"/>
  <c r="O25" i="47"/>
  <c r="N25" i="47"/>
  <c r="K25" i="47"/>
  <c r="J25" i="47"/>
  <c r="G25" i="47"/>
  <c r="F25" i="47"/>
  <c r="O24" i="47"/>
  <c r="N24" i="47"/>
  <c r="K24" i="47"/>
  <c r="J24" i="47"/>
  <c r="L24" i="47" s="1"/>
  <c r="M24" i="47" s="1"/>
  <c r="G24" i="47"/>
  <c r="F24" i="47"/>
  <c r="O23" i="47"/>
  <c r="N23" i="47"/>
  <c r="K23" i="47"/>
  <c r="J23" i="47"/>
  <c r="G23" i="47"/>
  <c r="F23" i="47"/>
  <c r="O22" i="47"/>
  <c r="N22" i="47"/>
  <c r="K22" i="47"/>
  <c r="J22" i="47"/>
  <c r="G22" i="47"/>
  <c r="F22" i="47"/>
  <c r="O21" i="47"/>
  <c r="N21" i="47"/>
  <c r="K21" i="47"/>
  <c r="J21" i="47"/>
  <c r="G21" i="47"/>
  <c r="F21" i="47"/>
  <c r="O20" i="47"/>
  <c r="N20" i="47"/>
  <c r="K20" i="47"/>
  <c r="J20" i="47"/>
  <c r="G20" i="47"/>
  <c r="F20" i="47"/>
  <c r="O19" i="47"/>
  <c r="N19" i="47"/>
  <c r="K19" i="47"/>
  <c r="J19" i="47"/>
  <c r="G19" i="47"/>
  <c r="F19" i="47"/>
  <c r="O18" i="47"/>
  <c r="N18" i="47"/>
  <c r="K18" i="47"/>
  <c r="J18" i="47"/>
  <c r="G18" i="47"/>
  <c r="F18" i="47"/>
  <c r="O17" i="47"/>
  <c r="N17" i="47"/>
  <c r="K17" i="47"/>
  <c r="J17" i="47"/>
  <c r="G17" i="47"/>
  <c r="F17" i="47"/>
  <c r="O16" i="47"/>
  <c r="N16" i="47"/>
  <c r="K16" i="47"/>
  <c r="J16" i="47"/>
  <c r="G16" i="47"/>
  <c r="F16" i="47"/>
  <c r="O15" i="47"/>
  <c r="N15" i="47"/>
  <c r="K15" i="47"/>
  <c r="J15" i="47"/>
  <c r="G15" i="47"/>
  <c r="F15" i="47"/>
  <c r="O14" i="47"/>
  <c r="N14" i="47"/>
  <c r="K14" i="47"/>
  <c r="J14" i="47"/>
  <c r="G14" i="47"/>
  <c r="F14" i="47"/>
  <c r="O13" i="47"/>
  <c r="N13" i="47"/>
  <c r="K13" i="47"/>
  <c r="J13" i="47"/>
  <c r="G13" i="47"/>
  <c r="F13" i="47"/>
  <c r="O12" i="47"/>
  <c r="N12" i="47"/>
  <c r="K12" i="47"/>
  <c r="J12" i="47"/>
  <c r="G12" i="47"/>
  <c r="F12" i="47"/>
  <c r="O11" i="47"/>
  <c r="N11" i="47"/>
  <c r="K11" i="47"/>
  <c r="J11" i="47"/>
  <c r="G11" i="47"/>
  <c r="F11" i="47"/>
  <c r="O10" i="47"/>
  <c r="N10" i="47"/>
  <c r="K10" i="47"/>
  <c r="J10" i="47"/>
  <c r="G10" i="47"/>
  <c r="F10" i="47"/>
  <c r="O9" i="47"/>
  <c r="N9" i="47"/>
  <c r="K9" i="47"/>
  <c r="J9" i="47"/>
  <c r="G9" i="47"/>
  <c r="F9" i="47"/>
  <c r="O8" i="47"/>
  <c r="N8" i="47"/>
  <c r="K8" i="47"/>
  <c r="J8" i="47"/>
  <c r="G8" i="47"/>
  <c r="F8" i="47"/>
  <c r="O7" i="47"/>
  <c r="N7" i="47"/>
  <c r="K7" i="47"/>
  <c r="J7" i="47"/>
  <c r="G7" i="47"/>
  <c r="F7" i="47"/>
  <c r="O6" i="47"/>
  <c r="N6" i="47"/>
  <c r="K6" i="47"/>
  <c r="J6" i="47"/>
  <c r="G6" i="47"/>
  <c r="F6" i="47"/>
  <c r="O5" i="47"/>
  <c r="N5" i="47"/>
  <c r="K5" i="47"/>
  <c r="J5" i="47"/>
  <c r="G5" i="47"/>
  <c r="F5" i="47"/>
  <c r="O4" i="47"/>
  <c r="N4" i="47"/>
  <c r="K4" i="47"/>
  <c r="J4" i="47"/>
  <c r="G4" i="47"/>
  <c r="F4" i="47"/>
  <c r="AO60" i="49" l="1"/>
  <c r="I46" i="50"/>
  <c r="I48" i="50" s="1"/>
  <c r="I27" i="50"/>
  <c r="I26" i="50"/>
  <c r="B45" i="5" s="1"/>
  <c r="AN63" i="49"/>
  <c r="C45" i="5"/>
  <c r="C48" i="5" s="1"/>
  <c r="C52" i="5" s="1"/>
  <c r="H48" i="50"/>
  <c r="H49" i="50" s="1"/>
  <c r="D40" i="5"/>
  <c r="D5" i="5"/>
  <c r="B8" i="5"/>
  <c r="D4" i="5"/>
  <c r="D8" i="5" s="1"/>
  <c r="D12" i="5"/>
  <c r="D16" i="5" s="1"/>
  <c r="B32" i="5"/>
  <c r="B40" i="5"/>
  <c r="O45" i="5"/>
  <c r="N45" i="5"/>
  <c r="H48" i="5"/>
  <c r="O44" i="5"/>
  <c r="N44" i="5"/>
  <c r="F48" i="5"/>
  <c r="J48" i="5"/>
  <c r="AO59" i="49"/>
  <c r="B44" i="5" s="1"/>
  <c r="D44" i="5" s="1"/>
  <c r="AO59" i="25"/>
  <c r="AO63" i="25" s="1"/>
  <c r="E64" i="49"/>
  <c r="AA19" i="49"/>
  <c r="AA59" i="49" s="1"/>
  <c r="AA63" i="49" s="1"/>
  <c r="F59" i="49"/>
  <c r="I91" i="48"/>
  <c r="I93" i="48" s="1"/>
  <c r="I94" i="48" s="1"/>
  <c r="H77" i="48"/>
  <c r="H93" i="48" s="1"/>
  <c r="H94" i="48" s="1"/>
  <c r="H73" i="48"/>
  <c r="H75" i="48" s="1"/>
  <c r="I73" i="48"/>
  <c r="I75" i="48" s="1"/>
  <c r="H25" i="47"/>
  <c r="P26" i="47"/>
  <c r="Q26" i="47" s="1"/>
  <c r="H27" i="47"/>
  <c r="P27" i="47"/>
  <c r="H29" i="47"/>
  <c r="I29" i="47" s="1"/>
  <c r="H30" i="47"/>
  <c r="P30" i="47"/>
  <c r="Q30" i="47" s="1"/>
  <c r="H31" i="47"/>
  <c r="I31" i="47" s="1"/>
  <c r="P31" i="47"/>
  <c r="H34" i="47"/>
  <c r="I34" i="47" s="1"/>
  <c r="P34" i="47"/>
  <c r="Q34" i="47" s="1"/>
  <c r="L22" i="47"/>
  <c r="M22" i="47" s="1"/>
  <c r="I25" i="47"/>
  <c r="H10" i="47"/>
  <c r="I10" i="47" s="1"/>
  <c r="P10" i="47"/>
  <c r="Q10" i="47" s="1"/>
  <c r="H11" i="47"/>
  <c r="I11" i="47" s="1"/>
  <c r="P18" i="47"/>
  <c r="H19" i="47"/>
  <c r="I19" i="47" s="1"/>
  <c r="P19" i="47"/>
  <c r="Q19" i="47" s="1"/>
  <c r="H20" i="47"/>
  <c r="I20" i="47" s="1"/>
  <c r="P20" i="47"/>
  <c r="Q20" i="47" s="1"/>
  <c r="H21" i="47"/>
  <c r="P21" i="47"/>
  <c r="Q21" i="47" s="1"/>
  <c r="H23" i="47"/>
  <c r="I23" i="47" s="1"/>
  <c r="P23" i="47"/>
  <c r="L26" i="47"/>
  <c r="M26" i="47" s="1"/>
  <c r="L15" i="47"/>
  <c r="M15" i="47" s="1"/>
  <c r="L16" i="47"/>
  <c r="M16" i="47" s="1"/>
  <c r="L17" i="47"/>
  <c r="M17" i="47" s="1"/>
  <c r="L23" i="47"/>
  <c r="M23" i="47" s="1"/>
  <c r="P25" i="47"/>
  <c r="Q25" i="47" s="1"/>
  <c r="Q18" i="47"/>
  <c r="L4" i="47"/>
  <c r="M4" i="47" s="1"/>
  <c r="L5" i="47"/>
  <c r="M5" i="47" s="1"/>
  <c r="L6" i="47"/>
  <c r="M6" i="47" s="1"/>
  <c r="L7" i="47"/>
  <c r="M7" i="47" s="1"/>
  <c r="L8" i="47"/>
  <c r="M8" i="47" s="1"/>
  <c r="L9" i="47"/>
  <c r="M9" i="47" s="1"/>
  <c r="H15" i="47"/>
  <c r="P15" i="47"/>
  <c r="Q15" i="47" s="1"/>
  <c r="H18" i="47"/>
  <c r="I18" i="47" s="1"/>
  <c r="P29" i="47"/>
  <c r="Q29" i="47" s="1"/>
  <c r="Q31" i="47"/>
  <c r="L18" i="47"/>
  <c r="M18" i="47" s="1"/>
  <c r="L29" i="47"/>
  <c r="M29" i="47" s="1"/>
  <c r="I21" i="47"/>
  <c r="L14" i="47"/>
  <c r="M14" i="47" s="1"/>
  <c r="H7" i="47"/>
  <c r="I7" i="47" s="1"/>
  <c r="P7" i="47"/>
  <c r="Q7" i="47" s="1"/>
  <c r="P11" i="47"/>
  <c r="Q11" i="47" s="1"/>
  <c r="H12" i="47"/>
  <c r="I12" i="47" s="1"/>
  <c r="P12" i="47"/>
  <c r="Q12" i="47" s="1"/>
  <c r="H13" i="47"/>
  <c r="I13" i="47" s="1"/>
  <c r="P13" i="47"/>
  <c r="Q13" i="47" s="1"/>
  <c r="H14" i="47"/>
  <c r="H26" i="47"/>
  <c r="I26" i="47" s="1"/>
  <c r="L32" i="47"/>
  <c r="M32" i="47" s="1"/>
  <c r="L34" i="47"/>
  <c r="M34" i="47" s="1"/>
  <c r="Q23" i="47"/>
  <c r="I14" i="47"/>
  <c r="L19" i="47"/>
  <c r="M19" i="47" s="1"/>
  <c r="H22" i="47"/>
  <c r="I22" i="47" s="1"/>
  <c r="I27" i="47"/>
  <c r="Q27" i="47"/>
  <c r="L33" i="47"/>
  <c r="M33" i="47" s="1"/>
  <c r="H4" i="47"/>
  <c r="I4" i="47" s="1"/>
  <c r="P4" i="47"/>
  <c r="Q4" i="47" s="1"/>
  <c r="H5" i="47"/>
  <c r="I5" i="47" s="1"/>
  <c r="P5" i="47"/>
  <c r="Q5" i="47" s="1"/>
  <c r="H6" i="47"/>
  <c r="I6" i="47" s="1"/>
  <c r="L10" i="47"/>
  <c r="M10" i="47" s="1"/>
  <c r="L11" i="47"/>
  <c r="M11" i="47" s="1"/>
  <c r="P14" i="47"/>
  <c r="Q14" i="47" s="1"/>
  <c r="H16" i="47"/>
  <c r="I16" i="47" s="1"/>
  <c r="P16" i="47"/>
  <c r="Q16" i="47" s="1"/>
  <c r="H17" i="47"/>
  <c r="I17" i="47" s="1"/>
  <c r="P17" i="47"/>
  <c r="Q17" i="47" s="1"/>
  <c r="L20" i="47"/>
  <c r="M20" i="47" s="1"/>
  <c r="L21" i="47"/>
  <c r="M21" i="47" s="1"/>
  <c r="P22" i="47"/>
  <c r="Q22" i="47" s="1"/>
  <c r="L25" i="47"/>
  <c r="M25" i="47" s="1"/>
  <c r="H28" i="47"/>
  <c r="I28" i="47" s="1"/>
  <c r="P28" i="47"/>
  <c r="Q28" i="47" s="1"/>
  <c r="L31" i="47"/>
  <c r="M31" i="47" s="1"/>
  <c r="H32" i="47"/>
  <c r="I32" i="47" s="1"/>
  <c r="P32" i="47"/>
  <c r="Q32" i="47" s="1"/>
  <c r="H33" i="47"/>
  <c r="I33" i="47" s="1"/>
  <c r="P33" i="47"/>
  <c r="Q33" i="47" s="1"/>
  <c r="P6" i="47"/>
  <c r="Q6" i="47" s="1"/>
  <c r="H8" i="47"/>
  <c r="I8" i="47" s="1"/>
  <c r="P8" i="47"/>
  <c r="Q8" i="47" s="1"/>
  <c r="H9" i="47"/>
  <c r="I9" i="47" s="1"/>
  <c r="P9" i="47"/>
  <c r="Q9" i="47" s="1"/>
  <c r="L12" i="47"/>
  <c r="M12" i="47" s="1"/>
  <c r="L13" i="47"/>
  <c r="M13" i="47" s="1"/>
  <c r="I15" i="47"/>
  <c r="H24" i="47"/>
  <c r="I24" i="47" s="1"/>
  <c r="P24" i="47"/>
  <c r="Q24" i="47" s="1"/>
  <c r="L27" i="47"/>
  <c r="M27" i="47" s="1"/>
  <c r="L28" i="47"/>
  <c r="M28" i="47" s="1"/>
  <c r="L30" i="47"/>
  <c r="M30" i="47" s="1"/>
  <c r="I30" i="47"/>
  <c r="R16" i="47" l="1"/>
  <c r="R22" i="47"/>
  <c r="AO63" i="49"/>
  <c r="I49" i="50"/>
  <c r="I28" i="50"/>
  <c r="I30" i="50" s="1"/>
  <c r="D45" i="5"/>
  <c r="D48" i="5" s="1"/>
  <c r="D52" i="5" s="1"/>
  <c r="B48" i="5"/>
  <c r="B52" i="5" s="1"/>
  <c r="O48" i="5"/>
  <c r="N48" i="5"/>
  <c r="F64" i="49"/>
  <c r="D59" i="49"/>
  <c r="D64" i="49" s="1"/>
  <c r="R26" i="47"/>
  <c r="R25" i="47"/>
  <c r="R4" i="47"/>
  <c r="R19" i="47"/>
  <c r="R6" i="47"/>
  <c r="R24" i="47"/>
  <c r="R5" i="47"/>
  <c r="R34" i="47"/>
  <c r="R27" i="47"/>
  <c r="R15" i="47"/>
  <c r="R9" i="47"/>
  <c r="R23" i="47"/>
  <c r="R32" i="47"/>
  <c r="R17" i="47"/>
  <c r="R14" i="47"/>
  <c r="R10" i="47"/>
  <c r="R18" i="47"/>
  <c r="R8" i="47"/>
  <c r="R31" i="47"/>
  <c r="R11" i="47"/>
  <c r="M36" i="47"/>
  <c r="R7" i="47"/>
  <c r="R29" i="47"/>
  <c r="R30" i="47"/>
  <c r="I36" i="47"/>
  <c r="R21" i="47"/>
  <c r="R13" i="47"/>
  <c r="R20" i="47"/>
  <c r="R12" i="47"/>
  <c r="R33" i="47"/>
  <c r="Q36" i="47"/>
  <c r="R28" i="47"/>
  <c r="H81" i="36"/>
  <c r="H78" i="36"/>
  <c r="H36" i="26"/>
  <c r="R36" i="47" l="1"/>
  <c r="H65" i="26"/>
  <c r="I63" i="26" l="1"/>
  <c r="I74" i="36" l="1"/>
  <c r="H82" i="36"/>
  <c r="H34" i="36"/>
  <c r="F63" i="25"/>
  <c r="H97" i="26"/>
  <c r="H80" i="36" l="1"/>
  <c r="F48" i="25"/>
  <c r="H97" i="36" l="1"/>
  <c r="H99" i="26"/>
  <c r="H70" i="36" l="1"/>
  <c r="L113" i="36"/>
  <c r="L120" i="36"/>
  <c r="L110" i="36" l="1"/>
  <c r="L125" i="36"/>
  <c r="L124" i="36"/>
  <c r="L123" i="36"/>
  <c r="L122" i="36"/>
  <c r="L121" i="36"/>
  <c r="L119" i="36"/>
  <c r="L118" i="36"/>
  <c r="L117" i="36"/>
  <c r="L116" i="36"/>
  <c r="L115" i="36"/>
  <c r="L114" i="36"/>
  <c r="L112" i="36"/>
  <c r="L111" i="36"/>
  <c r="L127" i="36" l="1"/>
  <c r="H46" i="36"/>
  <c r="H49" i="36"/>
  <c r="H48" i="36"/>
  <c r="H47" i="36"/>
  <c r="H51" i="5"/>
  <c r="I126" i="36" l="1"/>
  <c r="H126" i="36"/>
  <c r="H125" i="36"/>
  <c r="I125" i="36"/>
  <c r="H124" i="36"/>
  <c r="I124" i="36"/>
  <c r="H123" i="36"/>
  <c r="I123" i="36"/>
  <c r="I122" i="36"/>
  <c r="H122" i="36"/>
  <c r="I121" i="36"/>
  <c r="H121" i="36"/>
  <c r="I120" i="36"/>
  <c r="H120" i="36"/>
  <c r="H119" i="36"/>
  <c r="I119" i="36"/>
  <c r="I118" i="36"/>
  <c r="H118" i="36"/>
  <c r="H117" i="36"/>
  <c r="I117" i="36"/>
  <c r="H116" i="36"/>
  <c r="I116" i="36"/>
  <c r="H115" i="36"/>
  <c r="I115" i="36"/>
  <c r="I114" i="36"/>
  <c r="H114" i="36"/>
  <c r="I113" i="36"/>
  <c r="I112" i="36"/>
  <c r="H112" i="36"/>
  <c r="H111" i="36"/>
  <c r="I111" i="36"/>
  <c r="I110" i="36"/>
  <c r="H110" i="36"/>
  <c r="I106" i="36"/>
  <c r="H79" i="36"/>
  <c r="Z27" i="25"/>
  <c r="Y27" i="25"/>
  <c r="H17" i="33" l="1"/>
  <c r="H77" i="36"/>
  <c r="H106" i="36" l="1"/>
  <c r="H113" i="36"/>
  <c r="I100" i="26" l="1"/>
  <c r="H100" i="26"/>
  <c r="H64" i="26" l="1"/>
  <c r="I64" i="26"/>
  <c r="AH58" i="25"/>
  <c r="AH57" i="25"/>
  <c r="AH56" i="25"/>
  <c r="AH55" i="25"/>
  <c r="AH54" i="25"/>
  <c r="AH53" i="25"/>
  <c r="AH52" i="25"/>
  <c r="AH51" i="25"/>
  <c r="AH50" i="25"/>
  <c r="AH49" i="25"/>
  <c r="AH48" i="25"/>
  <c r="AH47" i="25"/>
  <c r="AH46" i="25"/>
  <c r="AH45" i="25"/>
  <c r="AH44" i="25"/>
  <c r="AH43" i="25"/>
  <c r="AH42" i="25"/>
  <c r="AH41" i="25"/>
  <c r="AH40" i="25"/>
  <c r="AH39" i="25"/>
  <c r="AH38" i="25"/>
  <c r="AH37" i="25"/>
  <c r="AH36" i="25"/>
  <c r="AH35" i="25"/>
  <c r="AH34" i="25"/>
  <c r="AH33" i="25"/>
  <c r="AH32" i="25"/>
  <c r="AH31" i="25"/>
  <c r="AH30" i="25"/>
  <c r="AH29" i="25"/>
  <c r="AH28" i="25"/>
  <c r="AH27" i="25"/>
  <c r="AH26" i="25"/>
  <c r="AH25" i="25"/>
  <c r="AH24" i="25"/>
  <c r="AH23" i="25"/>
  <c r="AH22" i="25"/>
  <c r="AH21" i="25"/>
  <c r="AH20" i="25"/>
  <c r="AG59" i="25"/>
  <c r="AG63" i="25" s="1"/>
  <c r="AH19" i="25"/>
  <c r="AH18" i="25"/>
  <c r="AH17" i="25"/>
  <c r="AH16" i="25"/>
  <c r="AH15" i="25"/>
  <c r="AH14" i="25"/>
  <c r="AH13" i="25"/>
  <c r="AH12" i="25"/>
  <c r="AH11" i="25"/>
  <c r="AH10" i="25"/>
  <c r="AH9" i="25"/>
  <c r="AH8" i="25"/>
  <c r="AH7" i="25"/>
  <c r="AH6" i="25"/>
  <c r="AH5" i="25"/>
  <c r="E22" i="25"/>
  <c r="D22" i="25"/>
  <c r="G37" i="5"/>
  <c r="G40" i="5" s="1"/>
  <c r="F37" i="5"/>
  <c r="K40" i="5"/>
  <c r="L37" i="5"/>
  <c r="J36" i="5"/>
  <c r="J40" i="5" s="1"/>
  <c r="I108" i="36"/>
  <c r="H108" i="36"/>
  <c r="H124" i="26"/>
  <c r="I122" i="26"/>
  <c r="H122" i="26"/>
  <c r="H121" i="26"/>
  <c r="I121" i="26"/>
  <c r="I120" i="26"/>
  <c r="H120" i="26"/>
  <c r="H119" i="26"/>
  <c r="I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H111" i="26"/>
  <c r="I111" i="26"/>
  <c r="I110" i="26"/>
  <c r="H37" i="5" l="1"/>
  <c r="AH59" i="25"/>
  <c r="AH63" i="25" s="1"/>
  <c r="F36" i="5" s="1"/>
  <c r="H36" i="5" s="1"/>
  <c r="O36" i="5" s="1"/>
  <c r="AF59" i="25"/>
  <c r="AF63" i="25" s="1"/>
  <c r="L36" i="5"/>
  <c r="L40" i="5" s="1"/>
  <c r="H127" i="36"/>
  <c r="H128" i="36" s="1"/>
  <c r="I127" i="36"/>
  <c r="I128" i="36" s="1"/>
  <c r="Z20" i="25"/>
  <c r="Z19" i="25"/>
  <c r="Y20" i="25"/>
  <c r="AA20" i="25" s="1"/>
  <c r="Y19" i="25"/>
  <c r="X58" i="25"/>
  <c r="W58" i="25"/>
  <c r="V58" i="25"/>
  <c r="X57" i="25"/>
  <c r="W57" i="25"/>
  <c r="V57" i="25"/>
  <c r="X56" i="25"/>
  <c r="W56" i="25"/>
  <c r="V56" i="25"/>
  <c r="X55" i="25"/>
  <c r="W55" i="25"/>
  <c r="V55" i="25"/>
  <c r="X54" i="25"/>
  <c r="W54" i="25"/>
  <c r="V54" i="25"/>
  <c r="X53" i="25"/>
  <c r="W53" i="25"/>
  <c r="V53" i="25"/>
  <c r="X52" i="25"/>
  <c r="W52" i="25"/>
  <c r="V52" i="25"/>
  <c r="X51" i="25"/>
  <c r="W51" i="25"/>
  <c r="V51" i="25"/>
  <c r="X50" i="25"/>
  <c r="W50" i="25"/>
  <c r="V50" i="25"/>
  <c r="X49" i="25"/>
  <c r="W49" i="25"/>
  <c r="V49" i="25"/>
  <c r="X48" i="25"/>
  <c r="W48" i="25"/>
  <c r="V48" i="25"/>
  <c r="X47" i="25"/>
  <c r="W47" i="25"/>
  <c r="V47" i="25"/>
  <c r="X46" i="25"/>
  <c r="W46" i="25"/>
  <c r="V46" i="25"/>
  <c r="X45" i="25"/>
  <c r="W45" i="25"/>
  <c r="V45" i="25"/>
  <c r="X44" i="25"/>
  <c r="W44" i="25"/>
  <c r="V44" i="25"/>
  <c r="X43" i="25"/>
  <c r="W43" i="25"/>
  <c r="V43" i="25"/>
  <c r="X42" i="25"/>
  <c r="W42" i="25"/>
  <c r="V42" i="25"/>
  <c r="X41" i="25"/>
  <c r="W41" i="25"/>
  <c r="V41" i="25"/>
  <c r="X40" i="25"/>
  <c r="W40" i="25"/>
  <c r="V40" i="25"/>
  <c r="X39" i="25"/>
  <c r="W39" i="25"/>
  <c r="V39" i="25"/>
  <c r="X38" i="25"/>
  <c r="W38" i="25"/>
  <c r="V38" i="25"/>
  <c r="X37" i="25"/>
  <c r="W37" i="25"/>
  <c r="V37" i="25"/>
  <c r="X36" i="25"/>
  <c r="W36" i="25"/>
  <c r="V36" i="25"/>
  <c r="X35" i="25"/>
  <c r="W35" i="25"/>
  <c r="V35" i="25"/>
  <c r="X34" i="25"/>
  <c r="W34" i="25"/>
  <c r="V34" i="25"/>
  <c r="X33" i="25"/>
  <c r="W33" i="25"/>
  <c r="V33" i="25"/>
  <c r="X32" i="25"/>
  <c r="W32" i="25"/>
  <c r="V32" i="25"/>
  <c r="X31" i="25"/>
  <c r="W31" i="25"/>
  <c r="V31" i="25"/>
  <c r="X30" i="25"/>
  <c r="W30" i="25"/>
  <c r="V30" i="25"/>
  <c r="X29" i="25"/>
  <c r="W29" i="25"/>
  <c r="V29" i="25"/>
  <c r="X28" i="25"/>
  <c r="W28" i="25"/>
  <c r="V28" i="25"/>
  <c r="X27" i="25"/>
  <c r="W27" i="25"/>
  <c r="V27" i="25"/>
  <c r="X26" i="25"/>
  <c r="W26" i="25"/>
  <c r="V26" i="25"/>
  <c r="X25" i="25"/>
  <c r="W25" i="25"/>
  <c r="V25" i="25"/>
  <c r="X24" i="25"/>
  <c r="W24" i="25"/>
  <c r="V24" i="25"/>
  <c r="X23" i="25"/>
  <c r="W23" i="25"/>
  <c r="V23" i="25"/>
  <c r="X22" i="25"/>
  <c r="W22" i="25"/>
  <c r="V22" i="25"/>
  <c r="X21" i="25"/>
  <c r="W21" i="25"/>
  <c r="V21" i="25"/>
  <c r="X20" i="25"/>
  <c r="W20" i="25"/>
  <c r="V20" i="25"/>
  <c r="X19" i="25"/>
  <c r="W19" i="25"/>
  <c r="V19" i="25"/>
  <c r="X18" i="25"/>
  <c r="W18" i="25"/>
  <c r="V18" i="25"/>
  <c r="X17" i="25"/>
  <c r="W17" i="25"/>
  <c r="V17" i="25"/>
  <c r="X16" i="25"/>
  <c r="W16" i="25"/>
  <c r="V16" i="25"/>
  <c r="X15" i="25"/>
  <c r="W15" i="25"/>
  <c r="V15" i="25"/>
  <c r="X14" i="25"/>
  <c r="W14" i="25"/>
  <c r="V14" i="25"/>
  <c r="X13" i="25"/>
  <c r="W13" i="25"/>
  <c r="V13" i="25"/>
  <c r="X12" i="25"/>
  <c r="W12" i="25"/>
  <c r="V12" i="25"/>
  <c r="X11" i="25"/>
  <c r="W11" i="25"/>
  <c r="V11" i="25"/>
  <c r="X10" i="25"/>
  <c r="W10" i="25"/>
  <c r="V10" i="25"/>
  <c r="X9" i="25"/>
  <c r="W9" i="25"/>
  <c r="V9" i="25"/>
  <c r="X8" i="25"/>
  <c r="W8" i="25"/>
  <c r="V8" i="25"/>
  <c r="X7" i="25"/>
  <c r="W7" i="25"/>
  <c r="V7" i="25"/>
  <c r="X6" i="25"/>
  <c r="W6" i="25"/>
  <c r="V6" i="25"/>
  <c r="X5" i="25"/>
  <c r="W5" i="25"/>
  <c r="V5" i="25"/>
  <c r="V4" i="25"/>
  <c r="O4" i="25"/>
  <c r="H4" i="25"/>
  <c r="AC4" i="25" s="1"/>
  <c r="Z59" i="25"/>
  <c r="Z63" i="25" s="1"/>
  <c r="Y59" i="25"/>
  <c r="Y63" i="25" s="1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AA7" i="25"/>
  <c r="AA6" i="25"/>
  <c r="AA5" i="25"/>
  <c r="G29" i="5"/>
  <c r="G32" i="5" s="1"/>
  <c r="F29" i="5"/>
  <c r="K32" i="5"/>
  <c r="L29" i="5"/>
  <c r="J28" i="5"/>
  <c r="L28" i="5" s="1"/>
  <c r="E19" i="25"/>
  <c r="D19" i="25"/>
  <c r="N36" i="5" l="1"/>
  <c r="F40" i="5"/>
  <c r="H40" i="5"/>
  <c r="H29" i="5"/>
  <c r="O29" i="5" s="1"/>
  <c r="N37" i="5"/>
  <c r="N40" i="5" s="1"/>
  <c r="O37" i="5"/>
  <c r="O40" i="5" s="1"/>
  <c r="AA59" i="25"/>
  <c r="AA63" i="25" s="1"/>
  <c r="F28" i="5" s="1"/>
  <c r="H28" i="5" s="1"/>
  <c r="J32" i="5"/>
  <c r="L32" i="5"/>
  <c r="N29" i="5" l="1"/>
  <c r="H32" i="5"/>
  <c r="N28" i="5"/>
  <c r="O28" i="5"/>
  <c r="O32" i="5" s="1"/>
  <c r="F32" i="5"/>
  <c r="N32" i="5" l="1"/>
  <c r="H102" i="26"/>
  <c r="H110" i="26" s="1"/>
  <c r="I47" i="33"/>
  <c r="H47" i="33"/>
  <c r="I45" i="33"/>
  <c r="H45" i="33"/>
  <c r="I44" i="33"/>
  <c r="H44" i="33"/>
  <c r="I43" i="33"/>
  <c r="H43" i="33"/>
  <c r="I42" i="33"/>
  <c r="H42" i="33"/>
  <c r="I41" i="33"/>
  <c r="H41" i="33"/>
  <c r="I40" i="33"/>
  <c r="H40" i="33"/>
  <c r="I39" i="33"/>
  <c r="H39" i="33"/>
  <c r="I38" i="33"/>
  <c r="H38" i="33"/>
  <c r="I37" i="33"/>
  <c r="H37" i="33"/>
  <c r="I36" i="33"/>
  <c r="H36" i="33"/>
  <c r="I35" i="33"/>
  <c r="H35" i="33"/>
  <c r="I34" i="33"/>
  <c r="H34" i="33"/>
  <c r="I33" i="33"/>
  <c r="H33" i="33"/>
  <c r="I32" i="33"/>
  <c r="H28" i="33"/>
  <c r="H30" i="33" s="1"/>
  <c r="H32" i="33"/>
  <c r="I46" i="33"/>
  <c r="H46" i="33"/>
  <c r="H48" i="33" l="1"/>
  <c r="H49" i="33" s="1"/>
  <c r="I48" i="33"/>
  <c r="I49" i="33" s="1"/>
  <c r="I28" i="33"/>
  <c r="I30" i="33" s="1"/>
  <c r="I82" i="26" l="1"/>
  <c r="E15" i="25" l="1"/>
  <c r="H123" i="26" l="1"/>
  <c r="I123" i="26" l="1"/>
  <c r="D11" i="25" l="1"/>
  <c r="J4" i="5" l="1"/>
  <c r="I80" i="26"/>
  <c r="F43" i="4"/>
  <c r="E43" i="4"/>
  <c r="D43" i="4"/>
  <c r="D37" i="4"/>
  <c r="F37" i="4" s="1"/>
  <c r="F40" i="4" s="1"/>
  <c r="E40" i="4"/>
  <c r="I109" i="26" l="1"/>
  <c r="I105" i="26"/>
  <c r="D40" i="4"/>
  <c r="D9" i="25" l="1"/>
  <c r="D7" i="25" l="1"/>
  <c r="D8" i="25"/>
  <c r="T51" i="25"/>
  <c r="Q51" i="25"/>
  <c r="P51" i="25"/>
  <c r="O51" i="25"/>
  <c r="M51" i="25"/>
  <c r="J51" i="25"/>
  <c r="AE51" i="25" s="1"/>
  <c r="I51" i="25"/>
  <c r="AD51" i="25" s="1"/>
  <c r="H51" i="25"/>
  <c r="AC51" i="25" s="1"/>
  <c r="F51" i="25"/>
  <c r="T50" i="25"/>
  <c r="Q50" i="25"/>
  <c r="P50" i="25"/>
  <c r="O50" i="25"/>
  <c r="M50" i="25"/>
  <c r="J50" i="25"/>
  <c r="AE50" i="25" s="1"/>
  <c r="I50" i="25"/>
  <c r="AD50" i="25" s="1"/>
  <c r="H50" i="25"/>
  <c r="AC50" i="25" s="1"/>
  <c r="F50" i="25"/>
  <c r="T53" i="25"/>
  <c r="Q53" i="25"/>
  <c r="P53" i="25"/>
  <c r="O53" i="25"/>
  <c r="M53" i="25"/>
  <c r="J53" i="25"/>
  <c r="AE53" i="25" s="1"/>
  <c r="I53" i="25"/>
  <c r="AD53" i="25" s="1"/>
  <c r="H53" i="25"/>
  <c r="AC53" i="25" s="1"/>
  <c r="F53" i="25"/>
  <c r="T52" i="25"/>
  <c r="Q52" i="25"/>
  <c r="P52" i="25"/>
  <c r="O52" i="25"/>
  <c r="M52" i="25"/>
  <c r="J52" i="25"/>
  <c r="AE52" i="25" s="1"/>
  <c r="I52" i="25"/>
  <c r="AD52" i="25" s="1"/>
  <c r="H52" i="25"/>
  <c r="AC52" i="25" s="1"/>
  <c r="F52" i="25"/>
  <c r="T55" i="25"/>
  <c r="Q55" i="25"/>
  <c r="P55" i="25"/>
  <c r="O55" i="25"/>
  <c r="M55" i="25"/>
  <c r="J55" i="25"/>
  <c r="AE55" i="25" s="1"/>
  <c r="I55" i="25"/>
  <c r="AD55" i="25" s="1"/>
  <c r="H55" i="25"/>
  <c r="AC55" i="25" s="1"/>
  <c r="F55" i="25"/>
  <c r="T54" i="25"/>
  <c r="Q54" i="25"/>
  <c r="P54" i="25"/>
  <c r="O54" i="25"/>
  <c r="M54" i="25"/>
  <c r="J54" i="25"/>
  <c r="AE54" i="25" s="1"/>
  <c r="I54" i="25"/>
  <c r="AD54" i="25" s="1"/>
  <c r="H54" i="25"/>
  <c r="AC54" i="25" s="1"/>
  <c r="F54" i="25"/>
  <c r="T43" i="25"/>
  <c r="Q43" i="25"/>
  <c r="P43" i="25"/>
  <c r="O43" i="25"/>
  <c r="M43" i="25"/>
  <c r="J43" i="25"/>
  <c r="AE43" i="25" s="1"/>
  <c r="I43" i="25"/>
  <c r="AD43" i="25" s="1"/>
  <c r="H43" i="25"/>
  <c r="AC43" i="25" s="1"/>
  <c r="F43" i="25"/>
  <c r="T42" i="25"/>
  <c r="Q42" i="25"/>
  <c r="P42" i="25"/>
  <c r="O42" i="25"/>
  <c r="M42" i="25"/>
  <c r="J42" i="25"/>
  <c r="AE42" i="25" s="1"/>
  <c r="I42" i="25"/>
  <c r="AD42" i="25" s="1"/>
  <c r="H42" i="25"/>
  <c r="AC42" i="25" s="1"/>
  <c r="F42" i="25"/>
  <c r="T41" i="25"/>
  <c r="Q41" i="25"/>
  <c r="P41" i="25"/>
  <c r="O41" i="25"/>
  <c r="M41" i="25"/>
  <c r="J41" i="25"/>
  <c r="AE41" i="25" s="1"/>
  <c r="I41" i="25"/>
  <c r="AD41" i="25" s="1"/>
  <c r="H41" i="25"/>
  <c r="AC41" i="25" s="1"/>
  <c r="F41" i="25"/>
  <c r="T40" i="25"/>
  <c r="Q40" i="25"/>
  <c r="P40" i="25"/>
  <c r="O40" i="25"/>
  <c r="M40" i="25"/>
  <c r="J40" i="25"/>
  <c r="AE40" i="25" s="1"/>
  <c r="I40" i="25"/>
  <c r="AD40" i="25" s="1"/>
  <c r="H40" i="25"/>
  <c r="AC40" i="25" s="1"/>
  <c r="F40" i="25"/>
  <c r="T47" i="25"/>
  <c r="Q47" i="25"/>
  <c r="P47" i="25"/>
  <c r="O47" i="25"/>
  <c r="M47" i="25"/>
  <c r="J47" i="25"/>
  <c r="AE47" i="25" s="1"/>
  <c r="I47" i="25"/>
  <c r="AD47" i="25" s="1"/>
  <c r="H47" i="25"/>
  <c r="AC47" i="25" s="1"/>
  <c r="F47" i="25"/>
  <c r="T46" i="25"/>
  <c r="Q46" i="25"/>
  <c r="P46" i="25"/>
  <c r="O46" i="25"/>
  <c r="M46" i="25"/>
  <c r="J46" i="25"/>
  <c r="AE46" i="25" s="1"/>
  <c r="I46" i="25"/>
  <c r="AD46" i="25" s="1"/>
  <c r="H46" i="25"/>
  <c r="AC46" i="25" s="1"/>
  <c r="F46" i="25"/>
  <c r="T45" i="25"/>
  <c r="Q45" i="25"/>
  <c r="P45" i="25"/>
  <c r="O45" i="25"/>
  <c r="M45" i="25"/>
  <c r="J45" i="25"/>
  <c r="AE45" i="25" s="1"/>
  <c r="I45" i="25"/>
  <c r="AD45" i="25" s="1"/>
  <c r="H45" i="25"/>
  <c r="AC45" i="25" s="1"/>
  <c r="F45" i="25"/>
  <c r="T44" i="25"/>
  <c r="Q44" i="25"/>
  <c r="P44" i="25"/>
  <c r="O44" i="25"/>
  <c r="M44" i="25"/>
  <c r="J44" i="25"/>
  <c r="AE44" i="25" s="1"/>
  <c r="I44" i="25"/>
  <c r="AD44" i="25" s="1"/>
  <c r="H44" i="25"/>
  <c r="AC44" i="25" s="1"/>
  <c r="F44" i="25"/>
  <c r="T37" i="25"/>
  <c r="Q37" i="25"/>
  <c r="P37" i="25"/>
  <c r="O37" i="25"/>
  <c r="M37" i="25"/>
  <c r="J37" i="25"/>
  <c r="AE37" i="25" s="1"/>
  <c r="I37" i="25"/>
  <c r="AD37" i="25" s="1"/>
  <c r="H37" i="25"/>
  <c r="AC37" i="25" s="1"/>
  <c r="F37" i="25"/>
  <c r="T36" i="25"/>
  <c r="Q36" i="25"/>
  <c r="P36" i="25"/>
  <c r="O36" i="25"/>
  <c r="M36" i="25"/>
  <c r="J36" i="25"/>
  <c r="AE36" i="25" s="1"/>
  <c r="I36" i="25"/>
  <c r="AD36" i="25" s="1"/>
  <c r="H36" i="25"/>
  <c r="AC36" i="25" s="1"/>
  <c r="F36" i="25"/>
  <c r="T35" i="25"/>
  <c r="Q35" i="25"/>
  <c r="P35" i="25"/>
  <c r="O35" i="25"/>
  <c r="M35" i="25"/>
  <c r="J35" i="25"/>
  <c r="AE35" i="25" s="1"/>
  <c r="I35" i="25"/>
  <c r="AD35" i="25" s="1"/>
  <c r="H35" i="25"/>
  <c r="AC35" i="25" s="1"/>
  <c r="F35" i="25"/>
  <c r="T48" i="25"/>
  <c r="Q48" i="25"/>
  <c r="P48" i="25"/>
  <c r="O48" i="25"/>
  <c r="M48" i="25"/>
  <c r="J48" i="25"/>
  <c r="AE48" i="25" s="1"/>
  <c r="I48" i="25"/>
  <c r="AD48" i="25" s="1"/>
  <c r="H48" i="25"/>
  <c r="AC48" i="25" s="1"/>
  <c r="T39" i="25"/>
  <c r="Q39" i="25"/>
  <c r="P39" i="25"/>
  <c r="O39" i="25"/>
  <c r="M39" i="25"/>
  <c r="J39" i="25"/>
  <c r="AE39" i="25" s="1"/>
  <c r="I39" i="25"/>
  <c r="AD39" i="25" s="1"/>
  <c r="H39" i="25"/>
  <c r="AC39" i="25" s="1"/>
  <c r="F39" i="25"/>
  <c r="T38" i="25"/>
  <c r="Q38" i="25"/>
  <c r="P38" i="25"/>
  <c r="O38" i="25"/>
  <c r="M38" i="25"/>
  <c r="J38" i="25"/>
  <c r="AE38" i="25" s="1"/>
  <c r="I38" i="25"/>
  <c r="AD38" i="25" s="1"/>
  <c r="H38" i="25"/>
  <c r="AC38" i="25" s="1"/>
  <c r="F38" i="25"/>
  <c r="H105" i="26" l="1"/>
  <c r="H109" i="26"/>
  <c r="D15" i="25"/>
  <c r="E35" i="4"/>
  <c r="E117" i="12" l="1"/>
  <c r="F117" i="12"/>
  <c r="G117" i="12"/>
  <c r="H117" i="12"/>
  <c r="D117" i="12"/>
  <c r="H21" i="5" l="1"/>
  <c r="H13" i="5"/>
  <c r="I124" i="26"/>
  <c r="Q58" i="25"/>
  <c r="P58" i="25"/>
  <c r="O58" i="25"/>
  <c r="Q57" i="25"/>
  <c r="P57" i="25"/>
  <c r="O57" i="25"/>
  <c r="Q56" i="25"/>
  <c r="P56" i="25"/>
  <c r="AK56" i="25" s="1"/>
  <c r="O56" i="25"/>
  <c r="Q49" i="25"/>
  <c r="P49" i="25"/>
  <c r="O49" i="25"/>
  <c r="Q34" i="25"/>
  <c r="P34" i="25"/>
  <c r="O34" i="25"/>
  <c r="Q33" i="25"/>
  <c r="P33" i="25"/>
  <c r="O33" i="25"/>
  <c r="Q32" i="25"/>
  <c r="P32" i="25"/>
  <c r="O32" i="25"/>
  <c r="Q31" i="25"/>
  <c r="P31" i="25"/>
  <c r="O31" i="25"/>
  <c r="Q30" i="25"/>
  <c r="P30" i="25"/>
  <c r="O30" i="25"/>
  <c r="Q29" i="25"/>
  <c r="P29" i="25"/>
  <c r="O29" i="25"/>
  <c r="Q28" i="25"/>
  <c r="P28" i="25"/>
  <c r="O28" i="25"/>
  <c r="Q27" i="25"/>
  <c r="P27" i="25"/>
  <c r="O27" i="25"/>
  <c r="Q26" i="25"/>
  <c r="P26" i="25"/>
  <c r="O26" i="25"/>
  <c r="Q25" i="25"/>
  <c r="P25" i="25"/>
  <c r="O25" i="25"/>
  <c r="Q24" i="25"/>
  <c r="P24" i="25"/>
  <c r="O24" i="25"/>
  <c r="Q23" i="25"/>
  <c r="P23" i="25"/>
  <c r="O23" i="25"/>
  <c r="Q22" i="25"/>
  <c r="P22" i="25"/>
  <c r="O22" i="25"/>
  <c r="Q21" i="25"/>
  <c r="P21" i="25"/>
  <c r="O21" i="25"/>
  <c r="Q20" i="25"/>
  <c r="P20" i="25"/>
  <c r="O20" i="25"/>
  <c r="Q19" i="25"/>
  <c r="P19" i="25"/>
  <c r="O19" i="25"/>
  <c r="Q18" i="25"/>
  <c r="P18" i="25"/>
  <c r="O18" i="25"/>
  <c r="Q17" i="25"/>
  <c r="P17" i="25"/>
  <c r="O17" i="25"/>
  <c r="Q16" i="25"/>
  <c r="P16" i="25"/>
  <c r="O16" i="25"/>
  <c r="Q15" i="25"/>
  <c r="P15" i="25"/>
  <c r="O15" i="25"/>
  <c r="Q14" i="25"/>
  <c r="P14" i="25"/>
  <c r="O14" i="25"/>
  <c r="Q13" i="25"/>
  <c r="P13" i="25"/>
  <c r="O13" i="25"/>
  <c r="Q12" i="25"/>
  <c r="P12" i="25"/>
  <c r="O12" i="25"/>
  <c r="Q11" i="25"/>
  <c r="P11" i="25"/>
  <c r="O11" i="25"/>
  <c r="Q10" i="25"/>
  <c r="P10" i="25"/>
  <c r="O10" i="25"/>
  <c r="Q9" i="25"/>
  <c r="P9" i="25"/>
  <c r="O9" i="25"/>
  <c r="Q8" i="25"/>
  <c r="P8" i="25"/>
  <c r="O8" i="25"/>
  <c r="Q7" i="25"/>
  <c r="P7" i="25"/>
  <c r="O7" i="25"/>
  <c r="Q6" i="25"/>
  <c r="P6" i="25"/>
  <c r="O6" i="25"/>
  <c r="J58" i="25"/>
  <c r="AE58" i="25" s="1"/>
  <c r="I58" i="25"/>
  <c r="AD58" i="25" s="1"/>
  <c r="H58" i="25"/>
  <c r="AC58" i="25" s="1"/>
  <c r="J57" i="25"/>
  <c r="AE57" i="25" s="1"/>
  <c r="I57" i="25"/>
  <c r="AD57" i="25" s="1"/>
  <c r="H57" i="25"/>
  <c r="AC57" i="25" s="1"/>
  <c r="J56" i="25"/>
  <c r="I56" i="25"/>
  <c r="H56" i="25"/>
  <c r="J49" i="25"/>
  <c r="AE49" i="25" s="1"/>
  <c r="I49" i="25"/>
  <c r="AD49" i="25" s="1"/>
  <c r="H49" i="25"/>
  <c r="AC49" i="25" s="1"/>
  <c r="J34" i="25"/>
  <c r="AE34" i="25" s="1"/>
  <c r="I34" i="25"/>
  <c r="AD34" i="25" s="1"/>
  <c r="H34" i="25"/>
  <c r="AC34" i="25" s="1"/>
  <c r="J33" i="25"/>
  <c r="AE33" i="25" s="1"/>
  <c r="I33" i="25"/>
  <c r="AD33" i="25" s="1"/>
  <c r="H33" i="25"/>
  <c r="AC33" i="25" s="1"/>
  <c r="J32" i="25"/>
  <c r="AE32" i="25" s="1"/>
  <c r="I32" i="25"/>
  <c r="AD32" i="25" s="1"/>
  <c r="H32" i="25"/>
  <c r="AC32" i="25" s="1"/>
  <c r="J31" i="25"/>
  <c r="AE31" i="25" s="1"/>
  <c r="I31" i="25"/>
  <c r="AD31" i="25" s="1"/>
  <c r="H31" i="25"/>
  <c r="AC31" i="25" s="1"/>
  <c r="J30" i="25"/>
  <c r="AE30" i="25" s="1"/>
  <c r="I30" i="25"/>
  <c r="AD30" i="25" s="1"/>
  <c r="H30" i="25"/>
  <c r="AC30" i="25" s="1"/>
  <c r="J29" i="25"/>
  <c r="AE29" i="25" s="1"/>
  <c r="I29" i="25"/>
  <c r="AD29" i="25" s="1"/>
  <c r="H29" i="25"/>
  <c r="AC29" i="25" s="1"/>
  <c r="J28" i="25"/>
  <c r="AE28" i="25" s="1"/>
  <c r="I28" i="25"/>
  <c r="AD28" i="25" s="1"/>
  <c r="H28" i="25"/>
  <c r="AC28" i="25" s="1"/>
  <c r="J27" i="25"/>
  <c r="AE27" i="25" s="1"/>
  <c r="I27" i="25"/>
  <c r="AD27" i="25" s="1"/>
  <c r="H27" i="25"/>
  <c r="AC27" i="25" s="1"/>
  <c r="J26" i="25"/>
  <c r="AE26" i="25" s="1"/>
  <c r="I26" i="25"/>
  <c r="AD26" i="25" s="1"/>
  <c r="H26" i="25"/>
  <c r="AC26" i="25" s="1"/>
  <c r="J25" i="25"/>
  <c r="AE25" i="25" s="1"/>
  <c r="I25" i="25"/>
  <c r="AD25" i="25" s="1"/>
  <c r="H25" i="25"/>
  <c r="AC25" i="25" s="1"/>
  <c r="J24" i="25"/>
  <c r="AE24" i="25" s="1"/>
  <c r="I24" i="25"/>
  <c r="AD24" i="25" s="1"/>
  <c r="H24" i="25"/>
  <c r="AC24" i="25" s="1"/>
  <c r="J23" i="25"/>
  <c r="AE23" i="25" s="1"/>
  <c r="I23" i="25"/>
  <c r="AD23" i="25" s="1"/>
  <c r="H23" i="25"/>
  <c r="AC23" i="25" s="1"/>
  <c r="J22" i="25"/>
  <c r="AE22" i="25" s="1"/>
  <c r="I22" i="25"/>
  <c r="AD22" i="25" s="1"/>
  <c r="H22" i="25"/>
  <c r="AC22" i="25" s="1"/>
  <c r="J21" i="25"/>
  <c r="AE21" i="25" s="1"/>
  <c r="I21" i="25"/>
  <c r="AD21" i="25" s="1"/>
  <c r="H21" i="25"/>
  <c r="AC21" i="25" s="1"/>
  <c r="J20" i="25"/>
  <c r="AE20" i="25" s="1"/>
  <c r="I20" i="25"/>
  <c r="AD20" i="25" s="1"/>
  <c r="H20" i="25"/>
  <c r="AC20" i="25" s="1"/>
  <c r="J19" i="25"/>
  <c r="AE19" i="25" s="1"/>
  <c r="I19" i="25"/>
  <c r="AD19" i="25" s="1"/>
  <c r="H19" i="25"/>
  <c r="AC19" i="25" s="1"/>
  <c r="J18" i="25"/>
  <c r="AE18" i="25" s="1"/>
  <c r="I18" i="25"/>
  <c r="AD18" i="25" s="1"/>
  <c r="H18" i="25"/>
  <c r="AC18" i="25" s="1"/>
  <c r="J17" i="25"/>
  <c r="AE17" i="25" s="1"/>
  <c r="I17" i="25"/>
  <c r="AD17" i="25" s="1"/>
  <c r="H17" i="25"/>
  <c r="AC17" i="25" s="1"/>
  <c r="J16" i="25"/>
  <c r="AE16" i="25" s="1"/>
  <c r="I16" i="25"/>
  <c r="AD16" i="25" s="1"/>
  <c r="H16" i="25"/>
  <c r="AC16" i="25" s="1"/>
  <c r="J15" i="25"/>
  <c r="AE15" i="25" s="1"/>
  <c r="I15" i="25"/>
  <c r="AD15" i="25" s="1"/>
  <c r="H15" i="25"/>
  <c r="AC15" i="25" s="1"/>
  <c r="J14" i="25"/>
  <c r="AE14" i="25" s="1"/>
  <c r="I14" i="25"/>
  <c r="AD14" i="25" s="1"/>
  <c r="H14" i="25"/>
  <c r="AC14" i="25" s="1"/>
  <c r="J13" i="25"/>
  <c r="AE13" i="25" s="1"/>
  <c r="I13" i="25"/>
  <c r="AD13" i="25" s="1"/>
  <c r="H13" i="25"/>
  <c r="AC13" i="25" s="1"/>
  <c r="J12" i="25"/>
  <c r="AE12" i="25" s="1"/>
  <c r="I12" i="25"/>
  <c r="AD12" i="25" s="1"/>
  <c r="H12" i="25"/>
  <c r="AC12" i="25" s="1"/>
  <c r="J11" i="25"/>
  <c r="AE11" i="25" s="1"/>
  <c r="I11" i="25"/>
  <c r="AD11" i="25" s="1"/>
  <c r="H11" i="25"/>
  <c r="AC11" i="25" s="1"/>
  <c r="J10" i="25"/>
  <c r="AE10" i="25" s="1"/>
  <c r="I10" i="25"/>
  <c r="AD10" i="25" s="1"/>
  <c r="H10" i="25"/>
  <c r="AC10" i="25" s="1"/>
  <c r="J9" i="25"/>
  <c r="AE9" i="25" s="1"/>
  <c r="I9" i="25"/>
  <c r="AD9" i="25" s="1"/>
  <c r="H9" i="25"/>
  <c r="AC9" i="25" s="1"/>
  <c r="J8" i="25"/>
  <c r="AE8" i="25" s="1"/>
  <c r="I8" i="25"/>
  <c r="AD8" i="25" s="1"/>
  <c r="H8" i="25"/>
  <c r="AC8" i="25" s="1"/>
  <c r="J7" i="25"/>
  <c r="AE7" i="25" s="1"/>
  <c r="I7" i="25"/>
  <c r="AD7" i="25" s="1"/>
  <c r="H7" i="25"/>
  <c r="AC7" i="25" s="1"/>
  <c r="J6" i="25"/>
  <c r="AE6" i="25" s="1"/>
  <c r="I6" i="25"/>
  <c r="AD6" i="25" s="1"/>
  <c r="H6" i="25"/>
  <c r="AC6" i="25" s="1"/>
  <c r="T19" i="25"/>
  <c r="T18" i="25"/>
  <c r="T17" i="25"/>
  <c r="T16" i="25"/>
  <c r="T15" i="25"/>
  <c r="T14" i="25"/>
  <c r="T13" i="25"/>
  <c r="T12" i="25"/>
  <c r="T11" i="25"/>
  <c r="T10" i="25"/>
  <c r="T9" i="25"/>
  <c r="T8" i="25"/>
  <c r="T7" i="25"/>
  <c r="T6" i="25"/>
  <c r="T5" i="25"/>
  <c r="Q5" i="25"/>
  <c r="P5" i="25"/>
  <c r="O5" i="25"/>
  <c r="J5" i="25"/>
  <c r="AE5" i="25" s="1"/>
  <c r="I5" i="25"/>
  <c r="AD5" i="25" s="1"/>
  <c r="H5" i="25"/>
  <c r="AC5" i="25" s="1"/>
  <c r="F5" i="25"/>
  <c r="R59" i="25"/>
  <c r="K59" i="25"/>
  <c r="T58" i="25"/>
  <c r="M58" i="25"/>
  <c r="F58" i="25"/>
  <c r="T57" i="25"/>
  <c r="M57" i="25"/>
  <c r="F57" i="25"/>
  <c r="T56" i="25"/>
  <c r="M56" i="25"/>
  <c r="F56" i="25"/>
  <c r="T49" i="25"/>
  <c r="M49" i="25"/>
  <c r="F49" i="25"/>
  <c r="T34" i="25"/>
  <c r="M34" i="25"/>
  <c r="T33" i="25"/>
  <c r="M33" i="25"/>
  <c r="T32" i="25"/>
  <c r="M32" i="25"/>
  <c r="T31" i="25"/>
  <c r="M31" i="25"/>
  <c r="F31" i="25"/>
  <c r="T30" i="25"/>
  <c r="M30" i="25"/>
  <c r="T29" i="25"/>
  <c r="M29" i="25"/>
  <c r="F29" i="25"/>
  <c r="T28" i="25"/>
  <c r="M28" i="25"/>
  <c r="T27" i="25"/>
  <c r="M27" i="25"/>
  <c r="F27" i="25"/>
  <c r="T26" i="25"/>
  <c r="M26" i="25"/>
  <c r="T25" i="25"/>
  <c r="M25" i="25"/>
  <c r="F25" i="25"/>
  <c r="T24" i="25"/>
  <c r="M24" i="25"/>
  <c r="F24" i="25"/>
  <c r="T23" i="25"/>
  <c r="M23" i="25"/>
  <c r="T22" i="25"/>
  <c r="M22" i="25"/>
  <c r="T21" i="25"/>
  <c r="M21" i="25"/>
  <c r="F21" i="25"/>
  <c r="T20" i="25"/>
  <c r="M20" i="25"/>
  <c r="F20" i="25"/>
  <c r="S59" i="25"/>
  <c r="S63" i="25" s="1"/>
  <c r="M18" i="25"/>
  <c r="M17" i="25"/>
  <c r="M16" i="25"/>
  <c r="M15" i="25"/>
  <c r="M14" i="25"/>
  <c r="M13" i="25"/>
  <c r="M12" i="25"/>
  <c r="M11" i="25"/>
  <c r="F11" i="25"/>
  <c r="M10" i="25"/>
  <c r="F10" i="25"/>
  <c r="M9" i="25"/>
  <c r="F9" i="25"/>
  <c r="M8" i="25"/>
  <c r="F8" i="25"/>
  <c r="M7" i="25"/>
  <c r="F7" i="25"/>
  <c r="M6" i="25"/>
  <c r="M5" i="25"/>
  <c r="O51" i="5"/>
  <c r="N51" i="5"/>
  <c r="K24" i="5"/>
  <c r="T35" i="4"/>
  <c r="M35" i="4"/>
  <c r="F35" i="4"/>
  <c r="O52" i="5" l="1"/>
  <c r="I125" i="26"/>
  <c r="I126" i="26" s="1"/>
  <c r="M19" i="25"/>
  <c r="K63" i="25"/>
  <c r="R63" i="25"/>
  <c r="L59" i="25"/>
  <c r="L63" i="25" s="1"/>
  <c r="F12" i="25"/>
  <c r="F6" i="25"/>
  <c r="H107" i="26" l="1"/>
  <c r="G5" i="5"/>
  <c r="I107" i="26"/>
  <c r="F5" i="5"/>
  <c r="H125" i="26"/>
  <c r="H126" i="26" s="1"/>
  <c r="F13" i="25"/>
  <c r="M59" i="25"/>
  <c r="D64" i="25"/>
  <c r="T59" i="25"/>
  <c r="H5" i="5" l="1"/>
  <c r="M63" i="25"/>
  <c r="F12" i="5"/>
  <c r="H12" i="5" s="1"/>
  <c r="T63" i="25"/>
  <c r="F20" i="5"/>
  <c r="H20" i="5" s="1"/>
  <c r="F14" i="25"/>
  <c r="F15" i="25" l="1"/>
  <c r="F16" i="25" l="1"/>
  <c r="F17" i="25" l="1"/>
  <c r="F18" i="25" l="1"/>
  <c r="D34" i="4"/>
  <c r="F19" i="25" l="1"/>
  <c r="I207" i="2"/>
  <c r="F22" i="25" l="1"/>
  <c r="I307" i="2"/>
  <c r="H307" i="2"/>
  <c r="F23" i="25" l="1"/>
  <c r="D32" i="4"/>
  <c r="F26" i="25" l="1"/>
  <c r="S38" i="4"/>
  <c r="L39" i="4"/>
  <c r="D30" i="4"/>
  <c r="F28" i="25" l="1"/>
  <c r="F30" i="25" l="1"/>
  <c r="F32" i="25" l="1"/>
  <c r="T29" i="4"/>
  <c r="M29" i="4"/>
  <c r="F29" i="4"/>
  <c r="T30" i="4"/>
  <c r="M30" i="4"/>
  <c r="T31" i="4"/>
  <c r="M31" i="4"/>
  <c r="F31" i="4"/>
  <c r="T32" i="4"/>
  <c r="M32" i="4"/>
  <c r="T33" i="4"/>
  <c r="M33" i="4"/>
  <c r="T34" i="4"/>
  <c r="M34" i="4"/>
  <c r="F33" i="25" l="1"/>
  <c r="F34" i="25" l="1"/>
  <c r="F59" i="25" s="1"/>
  <c r="E59" i="25"/>
  <c r="H93" i="12"/>
  <c r="G93" i="12"/>
  <c r="E93" i="12"/>
  <c r="F93" i="12"/>
  <c r="D89" i="12"/>
  <c r="G89" i="12" s="1"/>
  <c r="C89" i="12"/>
  <c r="H92" i="12"/>
  <c r="G92" i="12"/>
  <c r="E92" i="12"/>
  <c r="F92" i="12"/>
  <c r="D88" i="12"/>
  <c r="E88" i="12" s="1"/>
  <c r="C88" i="12"/>
  <c r="E89" i="12"/>
  <c r="G91" i="12"/>
  <c r="H91" i="12" s="1"/>
  <c r="G90" i="12"/>
  <c r="G87" i="12"/>
  <c r="G86" i="12"/>
  <c r="D82" i="12"/>
  <c r="G82" i="12" s="1"/>
  <c r="C82" i="12"/>
  <c r="G85" i="12"/>
  <c r="D81" i="12"/>
  <c r="G81" i="12" s="1"/>
  <c r="C81" i="12"/>
  <c r="G84" i="12"/>
  <c r="G83" i="12"/>
  <c r="H80" i="12"/>
  <c r="H83" i="12"/>
  <c r="H85" i="12"/>
  <c r="G80" i="12"/>
  <c r="F81" i="12"/>
  <c r="F83" i="12"/>
  <c r="F84" i="12"/>
  <c r="F85" i="12"/>
  <c r="F86" i="12"/>
  <c r="F87" i="12"/>
  <c r="F88" i="12"/>
  <c r="F89" i="12"/>
  <c r="F90" i="12"/>
  <c r="F91" i="12"/>
  <c r="E80" i="12"/>
  <c r="E81" i="12"/>
  <c r="E83" i="12"/>
  <c r="E84" i="12"/>
  <c r="H84" i="12" s="1"/>
  <c r="E85" i="12"/>
  <c r="E86" i="12"/>
  <c r="H86" i="12" s="1"/>
  <c r="E87" i="12"/>
  <c r="E90" i="12"/>
  <c r="E91" i="12"/>
  <c r="F80" i="12"/>
  <c r="I36" i="11"/>
  <c r="G36" i="11"/>
  <c r="E36" i="11"/>
  <c r="F36" i="11"/>
  <c r="D40" i="11"/>
  <c r="G40" i="11" s="1"/>
  <c r="C40" i="11"/>
  <c r="G39" i="11"/>
  <c r="F39" i="11"/>
  <c r="G38" i="11"/>
  <c r="F38" i="11"/>
  <c r="I38" i="11"/>
  <c r="G37" i="11"/>
  <c r="E37" i="11"/>
  <c r="I37" i="11" s="1"/>
  <c r="E38" i="11"/>
  <c r="E39" i="11"/>
  <c r="F37" i="11"/>
  <c r="E64" i="25" l="1"/>
  <c r="F64" i="25"/>
  <c r="F4" i="5"/>
  <c r="H4" i="5" s="1"/>
  <c r="H89" i="12"/>
  <c r="G88" i="12"/>
  <c r="H88" i="12" s="1"/>
  <c r="H90" i="12"/>
  <c r="H87" i="12"/>
  <c r="E82" i="12"/>
  <c r="H82" i="12" s="1"/>
  <c r="F82" i="12"/>
  <c r="H81" i="12"/>
  <c r="E40" i="11"/>
  <c r="F40" i="11"/>
  <c r="I40" i="11"/>
  <c r="I39" i="11"/>
  <c r="D28" i="4"/>
  <c r="I304" i="2" l="1"/>
  <c r="H304" i="2"/>
  <c r="E25" i="4"/>
  <c r="D25" i="4"/>
  <c r="D26" i="4"/>
  <c r="D24" i="4"/>
  <c r="F24" i="4" s="1"/>
  <c r="T24" i="4"/>
  <c r="M24" i="4"/>
  <c r="E79" i="12" l="1"/>
  <c r="F79" i="12"/>
  <c r="D75" i="12"/>
  <c r="F75" i="12" s="1"/>
  <c r="C75" i="12"/>
  <c r="D78" i="12"/>
  <c r="F78" i="12" s="1"/>
  <c r="C78" i="12"/>
  <c r="D74" i="12"/>
  <c r="G74" i="12" s="1"/>
  <c r="G77" i="12"/>
  <c r="E77" i="12"/>
  <c r="F77" i="12"/>
  <c r="G76" i="12"/>
  <c r="E76" i="12"/>
  <c r="F76" i="12"/>
  <c r="G78" i="12"/>
  <c r="F74" i="12"/>
  <c r="G73" i="12"/>
  <c r="G79" i="12"/>
  <c r="H79" i="12" s="1"/>
  <c r="E73" i="12"/>
  <c r="H73" i="12" s="1"/>
  <c r="F73" i="12"/>
  <c r="E72" i="12"/>
  <c r="F72" i="12"/>
  <c r="G71" i="12"/>
  <c r="E71" i="12"/>
  <c r="F71" i="12"/>
  <c r="G70" i="12"/>
  <c r="E70" i="12"/>
  <c r="F70" i="12"/>
  <c r="G69" i="12"/>
  <c r="E69" i="12"/>
  <c r="F69" i="12"/>
  <c r="G68" i="12"/>
  <c r="E68" i="12"/>
  <c r="F68" i="12"/>
  <c r="G67" i="12"/>
  <c r="E67" i="12"/>
  <c r="F67" i="12"/>
  <c r="G66" i="12"/>
  <c r="G72" i="12"/>
  <c r="E66" i="12"/>
  <c r="F66" i="12"/>
  <c r="H47" i="11"/>
  <c r="H25" i="11"/>
  <c r="H29" i="11"/>
  <c r="G35" i="11"/>
  <c r="E35" i="11"/>
  <c r="F35" i="11"/>
  <c r="G33" i="11"/>
  <c r="G34" i="11"/>
  <c r="E33" i="11"/>
  <c r="F33" i="11"/>
  <c r="E34" i="11"/>
  <c r="I34" i="11" s="1"/>
  <c r="F34" i="11"/>
  <c r="G32" i="11"/>
  <c r="E32" i="11"/>
  <c r="F32" i="11"/>
  <c r="G31" i="11"/>
  <c r="E31" i="11"/>
  <c r="F31" i="11"/>
  <c r="G30" i="11"/>
  <c r="E30" i="11"/>
  <c r="F30" i="11"/>
  <c r="G29" i="11"/>
  <c r="F29" i="11"/>
  <c r="G28" i="11"/>
  <c r="E28" i="11"/>
  <c r="F28" i="11"/>
  <c r="G27" i="11"/>
  <c r="E27" i="11"/>
  <c r="F27" i="11"/>
  <c r="G26" i="11"/>
  <c r="E26" i="11"/>
  <c r="F26" i="11"/>
  <c r="G25" i="11"/>
  <c r="F25" i="11"/>
  <c r="I33" i="11" l="1"/>
  <c r="G75" i="12"/>
  <c r="E75" i="12"/>
  <c r="E78" i="12"/>
  <c r="E74" i="12"/>
  <c r="H78" i="12"/>
  <c r="H66" i="12"/>
  <c r="H67" i="12"/>
  <c r="H69" i="12"/>
  <c r="H74" i="12"/>
  <c r="H75" i="12"/>
  <c r="H77" i="12"/>
  <c r="H76" i="12"/>
  <c r="H68" i="12"/>
  <c r="H71" i="12"/>
  <c r="H72" i="12"/>
  <c r="H70" i="12"/>
  <c r="D23" i="4"/>
  <c r="D22" i="4" l="1"/>
  <c r="T23" i="4"/>
  <c r="M23" i="4"/>
  <c r="T22" i="4"/>
  <c r="M22" i="4"/>
  <c r="T26" i="4"/>
  <c r="M26" i="4"/>
  <c r="T25" i="4"/>
  <c r="M25" i="4"/>
  <c r="F25" i="4"/>
  <c r="T27" i="4"/>
  <c r="M27" i="4"/>
  <c r="F27" i="4"/>
  <c r="T28" i="4"/>
  <c r="M28" i="4"/>
  <c r="I293" i="2" l="1"/>
  <c r="H293" i="2"/>
  <c r="C183" i="2"/>
  <c r="D21" i="4" l="1"/>
  <c r="G65" i="12" l="1"/>
  <c r="E65" i="12"/>
  <c r="F65" i="12"/>
  <c r="H64" i="12"/>
  <c r="G64" i="12"/>
  <c r="E64" i="12"/>
  <c r="F64" i="12"/>
  <c r="H63" i="12"/>
  <c r="G63" i="12"/>
  <c r="E63" i="12"/>
  <c r="F63" i="12"/>
  <c r="G62" i="12"/>
  <c r="E62" i="12"/>
  <c r="F62" i="12"/>
  <c r="G61" i="12"/>
  <c r="E61" i="12"/>
  <c r="F61" i="12"/>
  <c r="G60" i="12"/>
  <c r="E60" i="12"/>
  <c r="F60" i="12"/>
  <c r="G59" i="12"/>
  <c r="E59" i="12"/>
  <c r="F59" i="12"/>
  <c r="G24" i="11"/>
  <c r="E24" i="11"/>
  <c r="F24" i="11"/>
  <c r="G23" i="11"/>
  <c r="E23" i="11"/>
  <c r="F23" i="11"/>
  <c r="G22" i="11"/>
  <c r="E22" i="11"/>
  <c r="F22" i="11"/>
  <c r="E21" i="11"/>
  <c r="G21" i="11"/>
  <c r="F21" i="11"/>
  <c r="G20" i="11"/>
  <c r="E20" i="11"/>
  <c r="F20" i="11"/>
  <c r="H65" i="12" l="1"/>
  <c r="H59" i="12"/>
  <c r="H62" i="12"/>
  <c r="H60" i="12"/>
  <c r="H61" i="12"/>
  <c r="S18" i="4"/>
  <c r="S37" i="4" s="1"/>
  <c r="R18" i="4"/>
  <c r="R37" i="4" s="1"/>
  <c r="K19" i="4"/>
  <c r="K37" i="4" s="1"/>
  <c r="D19" i="4"/>
  <c r="I28" i="15" l="1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2" i="15"/>
  <c r="I14" i="15" s="1"/>
  <c r="L18" i="4"/>
  <c r="K18" i="4"/>
  <c r="K38" i="4" s="1"/>
  <c r="D18" i="4"/>
  <c r="L19" i="4" l="1"/>
  <c r="L37" i="4" s="1"/>
  <c r="L38" i="4"/>
  <c r="J13" i="5"/>
  <c r="H16" i="15"/>
  <c r="H29" i="15" s="1"/>
  <c r="H30" i="15" s="1"/>
  <c r="H12" i="15"/>
  <c r="I16" i="15"/>
  <c r="I29" i="15" s="1"/>
  <c r="I30" i="15" s="1"/>
  <c r="G58" i="12"/>
  <c r="E58" i="12"/>
  <c r="F58" i="12"/>
  <c r="G57" i="12"/>
  <c r="E57" i="12"/>
  <c r="F57" i="12"/>
  <c r="G56" i="12"/>
  <c r="E56" i="12"/>
  <c r="F56" i="12"/>
  <c r="G55" i="12"/>
  <c r="E55" i="12"/>
  <c r="F55" i="12"/>
  <c r="G54" i="12"/>
  <c r="E54" i="12"/>
  <c r="F54" i="12"/>
  <c r="G53" i="12"/>
  <c r="E53" i="12"/>
  <c r="F53" i="12"/>
  <c r="G52" i="12"/>
  <c r="E52" i="12"/>
  <c r="F52" i="12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5" i="11"/>
  <c r="E19" i="11"/>
  <c r="I19" i="11" s="1"/>
  <c r="F19" i="11"/>
  <c r="F18" i="11"/>
  <c r="I18" i="11" s="1"/>
  <c r="H14" i="15" l="1"/>
  <c r="K13" i="5"/>
  <c r="K16" i="5" s="1"/>
  <c r="R17" i="4"/>
  <c r="R38" i="4" s="1"/>
  <c r="K17" i="4"/>
  <c r="K39" i="4" s="1"/>
  <c r="D17" i="4"/>
  <c r="S36" i="4" l="1"/>
  <c r="S40" i="4" s="1"/>
  <c r="R36" i="4"/>
  <c r="R40" i="4" s="1"/>
  <c r="L36" i="4"/>
  <c r="L40" i="4" s="1"/>
  <c r="K36" i="4"/>
  <c r="K40" i="4" s="1"/>
  <c r="T21" i="4"/>
  <c r="T20" i="4"/>
  <c r="T19" i="4"/>
  <c r="T18" i="4"/>
  <c r="T37" i="4" s="1"/>
  <c r="T17" i="4"/>
  <c r="T38" i="4" s="1"/>
  <c r="T16" i="4"/>
  <c r="T15" i="4"/>
  <c r="T14" i="4"/>
  <c r="T13" i="4"/>
  <c r="T12" i="4"/>
  <c r="T11" i="4"/>
  <c r="T10" i="4"/>
  <c r="T9" i="4"/>
  <c r="T8" i="4"/>
  <c r="T7" i="4"/>
  <c r="T6" i="4"/>
  <c r="T5" i="4"/>
  <c r="M21" i="4"/>
  <c r="M20" i="4"/>
  <c r="M19" i="4"/>
  <c r="M37" i="4" s="1"/>
  <c r="M18" i="4"/>
  <c r="M38" i="4" s="1"/>
  <c r="M17" i="4"/>
  <c r="M39" i="4" s="1"/>
  <c r="M11" i="4"/>
  <c r="M10" i="4"/>
  <c r="M9" i="4"/>
  <c r="M8" i="4"/>
  <c r="M7" i="4"/>
  <c r="M6" i="4"/>
  <c r="M5" i="4"/>
  <c r="G24" i="5"/>
  <c r="L21" i="5"/>
  <c r="G16" i="5"/>
  <c r="D16" i="4"/>
  <c r="T36" i="4" l="1"/>
  <c r="M12" i="4"/>
  <c r="O21" i="5"/>
  <c r="N21" i="5"/>
  <c r="L13" i="5"/>
  <c r="N13" i="5" s="1"/>
  <c r="G51" i="12"/>
  <c r="E51" i="12"/>
  <c r="F51" i="12"/>
  <c r="G50" i="12"/>
  <c r="E50" i="12"/>
  <c r="F50" i="12"/>
  <c r="G47" i="12"/>
  <c r="G49" i="12"/>
  <c r="G48" i="12"/>
  <c r="E49" i="12"/>
  <c r="F49" i="12"/>
  <c r="F47" i="12"/>
  <c r="F48" i="12"/>
  <c r="E47" i="12"/>
  <c r="E48" i="12"/>
  <c r="G46" i="12"/>
  <c r="E46" i="12"/>
  <c r="F46" i="12"/>
  <c r="G45" i="12"/>
  <c r="E45" i="12"/>
  <c r="F45" i="12"/>
  <c r="H17" i="11"/>
  <c r="G17" i="11"/>
  <c r="F17" i="11"/>
  <c r="G16" i="11"/>
  <c r="E16" i="11"/>
  <c r="F16" i="11"/>
  <c r="G15" i="11"/>
  <c r="E15" i="11"/>
  <c r="F15" i="11"/>
  <c r="T40" i="4" l="1"/>
  <c r="J20" i="5" s="1"/>
  <c r="I16" i="11"/>
  <c r="I15" i="11"/>
  <c r="I17" i="11"/>
  <c r="M14" i="4"/>
  <c r="O13" i="5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D47" i="11"/>
  <c r="D15" i="4"/>
  <c r="F24" i="5" l="1"/>
  <c r="J24" i="5"/>
  <c r="L20" i="5"/>
  <c r="M15" i="4"/>
  <c r="M13" i="4"/>
  <c r="O20" i="5" l="1"/>
  <c r="O24" i="5" s="1"/>
  <c r="L24" i="5"/>
  <c r="H24" i="5"/>
  <c r="N20" i="5"/>
  <c r="N24" i="5" s="1"/>
  <c r="M16" i="4"/>
  <c r="M36" i="4" s="1"/>
  <c r="M40" i="4" s="1"/>
  <c r="J12" i="5" s="1"/>
  <c r="J16" i="5" s="1"/>
  <c r="G44" i="12"/>
  <c r="F44" i="12"/>
  <c r="E44" i="12"/>
  <c r="G43" i="12"/>
  <c r="F43" i="12"/>
  <c r="E43" i="12"/>
  <c r="G42" i="12"/>
  <c r="F42" i="12"/>
  <c r="E42" i="12"/>
  <c r="G41" i="12"/>
  <c r="F41" i="12"/>
  <c r="E41" i="12"/>
  <c r="G40" i="12"/>
  <c r="F40" i="12"/>
  <c r="E40" i="12"/>
  <c r="G39" i="12"/>
  <c r="F39" i="12"/>
  <c r="E39" i="12"/>
  <c r="G38" i="12"/>
  <c r="F38" i="12"/>
  <c r="E38" i="12"/>
  <c r="H38" i="12" s="1"/>
  <c r="G37" i="12"/>
  <c r="F37" i="12"/>
  <c r="E37" i="12"/>
  <c r="G36" i="12"/>
  <c r="F36" i="12"/>
  <c r="E36" i="12"/>
  <c r="G35" i="12"/>
  <c r="F35" i="12"/>
  <c r="E35" i="12"/>
  <c r="G34" i="12"/>
  <c r="F34" i="12"/>
  <c r="E34" i="12"/>
  <c r="H34" i="12" s="1"/>
  <c r="G33" i="12"/>
  <c r="F33" i="12"/>
  <c r="E33" i="12"/>
  <c r="G32" i="12"/>
  <c r="F32" i="12"/>
  <c r="E32" i="12"/>
  <c r="G31" i="12"/>
  <c r="F31" i="12"/>
  <c r="E31" i="12"/>
  <c r="G30" i="12"/>
  <c r="F30" i="12"/>
  <c r="E30" i="12"/>
  <c r="H30" i="12" s="1"/>
  <c r="G29" i="12"/>
  <c r="F29" i="12"/>
  <c r="E29" i="12"/>
  <c r="H29" i="12" s="1"/>
  <c r="G28" i="12"/>
  <c r="F28" i="12"/>
  <c r="E28" i="12"/>
  <c r="G27" i="12"/>
  <c r="F27" i="12"/>
  <c r="E27" i="12"/>
  <c r="G26" i="12"/>
  <c r="F26" i="12"/>
  <c r="E26" i="12"/>
  <c r="H26" i="12" s="1"/>
  <c r="G25" i="12"/>
  <c r="F25" i="12"/>
  <c r="E25" i="12"/>
  <c r="H25" i="12" s="1"/>
  <c r="G24" i="12"/>
  <c r="F24" i="12"/>
  <c r="E24" i="12"/>
  <c r="G23" i="12"/>
  <c r="F23" i="12"/>
  <c r="E23" i="12"/>
  <c r="G22" i="12"/>
  <c r="F22" i="12"/>
  <c r="E22" i="12"/>
  <c r="H22" i="12" s="1"/>
  <c r="G21" i="12"/>
  <c r="F21" i="12"/>
  <c r="E21" i="12"/>
  <c r="H21" i="12" s="1"/>
  <c r="G20" i="12"/>
  <c r="F20" i="12"/>
  <c r="E20" i="12"/>
  <c r="G19" i="12"/>
  <c r="F19" i="12"/>
  <c r="E19" i="12"/>
  <c r="G18" i="12"/>
  <c r="F18" i="12"/>
  <c r="E18" i="12"/>
  <c r="H18" i="12" s="1"/>
  <c r="G17" i="12"/>
  <c r="F17" i="12"/>
  <c r="E17" i="12"/>
  <c r="H17" i="12" s="1"/>
  <c r="G16" i="12"/>
  <c r="F16" i="12"/>
  <c r="E16" i="12"/>
  <c r="G15" i="12"/>
  <c r="F15" i="12"/>
  <c r="E15" i="12"/>
  <c r="G14" i="12"/>
  <c r="F14" i="12"/>
  <c r="E14" i="12"/>
  <c r="H14" i="12" s="1"/>
  <c r="G13" i="12"/>
  <c r="F13" i="12"/>
  <c r="E13" i="12"/>
  <c r="H13" i="12" s="1"/>
  <c r="G12" i="12"/>
  <c r="F12" i="12"/>
  <c r="E12" i="12"/>
  <c r="G14" i="11"/>
  <c r="F14" i="11"/>
  <c r="E14" i="11"/>
  <c r="G13" i="11"/>
  <c r="F13" i="11"/>
  <c r="E13" i="11"/>
  <c r="I13" i="11" s="1"/>
  <c r="G12" i="11"/>
  <c r="F12" i="11"/>
  <c r="E12" i="11"/>
  <c r="I12" i="11" s="1"/>
  <c r="G11" i="11"/>
  <c r="F11" i="11"/>
  <c r="E11" i="11"/>
  <c r="G10" i="11"/>
  <c r="F10" i="11"/>
  <c r="E10" i="11"/>
  <c r="G9" i="11"/>
  <c r="F9" i="11"/>
  <c r="E9" i="11"/>
  <c r="I9" i="11" s="1"/>
  <c r="G8" i="11"/>
  <c r="F8" i="11"/>
  <c r="E8" i="11"/>
  <c r="I8" i="11" s="1"/>
  <c r="G7" i="11"/>
  <c r="F7" i="11"/>
  <c r="E7" i="11"/>
  <c r="G6" i="11"/>
  <c r="F6" i="11"/>
  <c r="E6" i="11"/>
  <c r="G47" i="11" l="1"/>
  <c r="I7" i="11"/>
  <c r="I11" i="11"/>
  <c r="E47" i="11"/>
  <c r="I6" i="11"/>
  <c r="I10" i="11"/>
  <c r="I14" i="11"/>
  <c r="L12" i="5"/>
  <c r="L16" i="5" s="1"/>
  <c r="F16" i="5"/>
  <c r="H33" i="12"/>
  <c r="H40" i="12"/>
  <c r="H44" i="12"/>
  <c r="H35" i="12"/>
  <c r="H43" i="12"/>
  <c r="H15" i="12"/>
  <c r="H19" i="12"/>
  <c r="H23" i="12"/>
  <c r="H27" i="12"/>
  <c r="H31" i="12"/>
  <c r="H39" i="12"/>
  <c r="H42" i="12"/>
  <c r="H37" i="12"/>
  <c r="H41" i="12"/>
  <c r="H12" i="12"/>
  <c r="H16" i="12"/>
  <c r="H20" i="12"/>
  <c r="H24" i="12"/>
  <c r="H28" i="12"/>
  <c r="H32" i="12"/>
  <c r="H36" i="12"/>
  <c r="F47" i="11"/>
  <c r="I305" i="2"/>
  <c r="H305" i="2"/>
  <c r="I303" i="2"/>
  <c r="H303" i="2"/>
  <c r="O12" i="5" l="1"/>
  <c r="O16" i="5" s="1"/>
  <c r="N12" i="5"/>
  <c r="N16" i="5" s="1"/>
  <c r="H16" i="5"/>
  <c r="I47" i="11"/>
  <c r="D13" i="4"/>
  <c r="I306" i="2" l="1"/>
  <c r="H306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108" i="2" l="1"/>
  <c r="I66" i="2" l="1"/>
  <c r="I68" i="2"/>
  <c r="C37" i="2"/>
  <c r="I67" i="2" l="1"/>
  <c r="I292" i="2" s="1"/>
  <c r="I308" i="2" l="1"/>
  <c r="I309" i="2" s="1"/>
  <c r="H66" i="2"/>
  <c r="H288" i="2" l="1"/>
  <c r="H292" i="2"/>
  <c r="D11" i="4"/>
  <c r="H308" i="2" l="1"/>
  <c r="H309" i="2" s="1"/>
  <c r="E9" i="4"/>
  <c r="E10" i="4"/>
  <c r="D8" i="4"/>
  <c r="I288" i="2"/>
  <c r="I290" i="2" s="1"/>
  <c r="J5" i="5" l="1"/>
  <c r="E7" i="4" l="1"/>
  <c r="D7" i="4"/>
  <c r="E5" i="4" l="1"/>
  <c r="D5" i="4"/>
  <c r="K5" i="5" l="1"/>
  <c r="K8" i="5" s="1"/>
  <c r="K52" i="5" s="1"/>
  <c r="H290" i="2"/>
  <c r="F28" i="6" l="1"/>
  <c r="E28" i="6"/>
  <c r="F27" i="6"/>
  <c r="E27" i="6"/>
  <c r="G27" i="6" s="1"/>
  <c r="F26" i="6"/>
  <c r="E26" i="6"/>
  <c r="F25" i="6"/>
  <c r="E25" i="6"/>
  <c r="G25" i="6" s="1"/>
  <c r="I25" i="6" s="1"/>
  <c r="F24" i="6"/>
  <c r="E24" i="6"/>
  <c r="F23" i="6"/>
  <c r="E23" i="6"/>
  <c r="G23" i="6" s="1"/>
  <c r="F22" i="6"/>
  <c r="E22" i="6"/>
  <c r="F21" i="6"/>
  <c r="E21" i="6"/>
  <c r="F20" i="6"/>
  <c r="E20" i="6"/>
  <c r="F19" i="6"/>
  <c r="E19" i="6"/>
  <c r="G19" i="6" s="1"/>
  <c r="F18" i="6"/>
  <c r="E18" i="6"/>
  <c r="F17" i="6"/>
  <c r="E17" i="6"/>
  <c r="F16" i="6"/>
  <c r="G16" i="6" s="1"/>
  <c r="I16" i="6" s="1"/>
  <c r="E16" i="6"/>
  <c r="F15" i="6"/>
  <c r="E15" i="6"/>
  <c r="F14" i="6"/>
  <c r="E14" i="6"/>
  <c r="F13" i="6"/>
  <c r="E13" i="6"/>
  <c r="F12" i="6"/>
  <c r="E12" i="6"/>
  <c r="F11" i="6"/>
  <c r="E11" i="6"/>
  <c r="G11" i="6" s="1"/>
  <c r="F10" i="6"/>
  <c r="E10" i="6"/>
  <c r="F9" i="6"/>
  <c r="E9" i="6"/>
  <c r="F8" i="6"/>
  <c r="E8" i="6"/>
  <c r="F7" i="6"/>
  <c r="E7" i="6"/>
  <c r="F6" i="6"/>
  <c r="E6" i="6"/>
  <c r="G6" i="6" s="1"/>
  <c r="F5" i="6"/>
  <c r="E5" i="6"/>
  <c r="F4" i="6"/>
  <c r="E4" i="6"/>
  <c r="F3" i="6"/>
  <c r="E3" i="6"/>
  <c r="F2" i="6"/>
  <c r="E2" i="6"/>
  <c r="G2" i="6" s="1"/>
  <c r="G9" i="6" l="1"/>
  <c r="G14" i="6"/>
  <c r="G15" i="6"/>
  <c r="G18" i="6"/>
  <c r="I18" i="6" s="1"/>
  <c r="G3" i="6"/>
  <c r="I3" i="6" s="1"/>
  <c r="G7" i="6"/>
  <c r="I7" i="6" s="1"/>
  <c r="G28" i="6"/>
  <c r="I28" i="6" s="1"/>
  <c r="I19" i="6"/>
  <c r="I23" i="6"/>
  <c r="I9" i="6"/>
  <c r="I11" i="6"/>
  <c r="I14" i="6"/>
  <c r="I15" i="6"/>
  <c r="G13" i="6"/>
  <c r="I13" i="6" s="1"/>
  <c r="G20" i="6"/>
  <c r="I20" i="6" s="1"/>
  <c r="I2" i="6"/>
  <c r="G4" i="6"/>
  <c r="I4" i="6" s="1"/>
  <c r="I6" i="6"/>
  <c r="G8" i="6"/>
  <c r="I8" i="6" s="1"/>
  <c r="G17" i="6"/>
  <c r="I17" i="6" s="1"/>
  <c r="G22" i="6"/>
  <c r="I22" i="6" s="1"/>
  <c r="G24" i="6"/>
  <c r="I24" i="6" s="1"/>
  <c r="I27" i="6"/>
  <c r="G5" i="6"/>
  <c r="I5" i="6" s="1"/>
  <c r="G10" i="6"/>
  <c r="I10" i="6" s="1"/>
  <c r="G12" i="6"/>
  <c r="I12" i="6" s="1"/>
  <c r="G21" i="6"/>
  <c r="I21" i="6" s="1"/>
  <c r="G26" i="6"/>
  <c r="I26" i="6" s="1"/>
  <c r="I30" i="6" l="1"/>
  <c r="F21" i="4"/>
  <c r="F20" i="4"/>
  <c r="F11" i="4"/>
  <c r="F10" i="4"/>
  <c r="F9" i="4"/>
  <c r="F8" i="4"/>
  <c r="F7" i="4"/>
  <c r="E6" i="4"/>
  <c r="D6" i="4"/>
  <c r="F5" i="4"/>
  <c r="D36" i="4" l="1"/>
  <c r="E12" i="4"/>
  <c r="F12" i="4" s="1"/>
  <c r="G8" i="5"/>
  <c r="G52" i="5" s="1"/>
  <c r="F6" i="4"/>
  <c r="D45" i="4" l="1"/>
  <c r="E13" i="4"/>
  <c r="L5" i="5"/>
  <c r="O5" i="5" l="1"/>
  <c r="N5" i="5"/>
  <c r="F13" i="4"/>
  <c r="E14" i="4"/>
  <c r="F14" i="4" l="1"/>
  <c r="E15" i="4"/>
  <c r="F15" i="4" l="1"/>
  <c r="E16" i="4"/>
  <c r="F16" i="4" s="1"/>
  <c r="E17" i="4" l="1"/>
  <c r="F17" i="4" l="1"/>
  <c r="E18" i="4"/>
  <c r="F18" i="4"/>
  <c r="E19" i="4"/>
  <c r="E22" i="4" s="1"/>
  <c r="F22" i="4" l="1"/>
  <c r="E23" i="4"/>
  <c r="F19" i="4"/>
  <c r="F23" i="4" l="1"/>
  <c r="E26" i="4"/>
  <c r="F26" i="4" l="1"/>
  <c r="E28" i="4"/>
  <c r="F8" i="5"/>
  <c r="F52" i="5" s="1"/>
  <c r="F28" i="4" l="1"/>
  <c r="E30" i="4"/>
  <c r="H8" i="5"/>
  <c r="H52" i="5" s="1"/>
  <c r="F30" i="4" l="1"/>
  <c r="E32" i="4"/>
  <c r="F32" i="4" l="1"/>
  <c r="E33" i="4"/>
  <c r="F33" i="4" l="1"/>
  <c r="E34" i="4"/>
  <c r="F34" i="4" l="1"/>
  <c r="F36" i="4" s="1"/>
  <c r="E36" i="4"/>
  <c r="E45" i="4" s="1"/>
  <c r="F45" i="4" l="1"/>
  <c r="J8" i="5" l="1"/>
  <c r="J52" i="5" s="1"/>
  <c r="L4" i="5"/>
  <c r="O4" i="5" l="1"/>
  <c r="O8" i="5" s="1"/>
  <c r="N4" i="5"/>
  <c r="N8" i="5" s="1"/>
  <c r="L8" i="5"/>
  <c r="L5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Badgett</author>
  </authors>
  <commentList>
    <comment ref="Y27" authorId="0" shapeId="0" xr:uid="{82414AF5-ABE4-495E-8849-558D5B6BCAFF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$187.37 Manual check to Jeff Gentry (police) on 3/11/21</t>
        </r>
      </text>
    </comment>
    <comment ref="Z27" authorId="0" shapeId="0" xr:uid="{BD0C3099-99D2-4AB6-BF0B-0B48FF747B60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$27.13 Manual check to Jeff Gentry (police) on 3/11/21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Badgett</author>
  </authors>
  <commentList>
    <comment ref="D14" authorId="0" shapeId="0" xr:uid="{5A962062-D3EE-4DE3-AA89-E9BB69DC2122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Josh Brock was overpaid on 5/8 - will be paid back over 3 pay periods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Badgett</author>
    <author>Patricia Saenz</author>
  </authors>
  <commentList>
    <comment ref="I37" authorId="0" shapeId="0" xr:uid="{B4D3EC35-56A4-4B83-8079-197C68F81910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This is on the same receipt as the $89.21 in account 6247 for a total purchase of $118.91</t>
        </r>
      </text>
    </comment>
    <comment ref="L87" authorId="1" shapeId="0" xr:uid="{3C9847A5-B079-4B8B-9C73-4DB17C18E8E9}">
      <text>
        <r>
          <rPr>
            <b/>
            <sz val="9"/>
            <color indexed="81"/>
            <rFont val="Tahoma"/>
            <family val="2"/>
          </rPr>
          <t>Patricia Saenz:</t>
        </r>
        <r>
          <rPr>
            <sz val="9"/>
            <color indexed="81"/>
            <rFont val="Tahoma"/>
            <family val="2"/>
          </rPr>
          <t xml:space="preserve">
check amt is $185.50 only 33.60 is covid</t>
        </r>
      </text>
    </comment>
    <comment ref="I108" authorId="0" shapeId="0" xr:uid="{2B571C70-DEDC-4BF2-8CB3-9C5C03844569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The other $4.48 is coded to Fire Admin (1014501-6200) for a total purchas of $10.36</t>
        </r>
      </text>
    </comment>
    <comment ref="I135" authorId="0" shapeId="0" xr:uid="{13DA8D69-A5D6-449C-892D-CE2F0D9C4CE0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This is on one receipt with $1,469.03 for total receipt of $1,530.24</t>
        </r>
      </text>
    </comment>
    <comment ref="I136" authorId="0" shapeId="0" xr:uid="{802836D6-7A80-4335-BCC3-72ACA482C2CD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This is on one receipt with $61.21 for total receipt of $1,530.24</t>
        </r>
      </text>
    </comment>
    <comment ref="L215" authorId="0" shapeId="0" xr:uid="{B962B3F4-1688-4E25-AB38-EDD1B504DC98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$356.40
 </t>
        </r>
        <r>
          <rPr>
            <u/>
            <sz val="9"/>
            <color indexed="81"/>
            <rFont val="Tahoma"/>
            <family val="2"/>
          </rPr>
          <t xml:space="preserve"> 111.30</t>
        </r>
        <r>
          <rPr>
            <sz val="9"/>
            <color indexed="81"/>
            <rFont val="Tahoma"/>
            <family val="2"/>
          </rPr>
          <t xml:space="preserve">
$467.70</t>
        </r>
      </text>
    </comment>
    <comment ref="L216" authorId="0" shapeId="0" xr:uid="{509821F9-25E9-4374-8780-777D30158832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$356.40
 </t>
        </r>
        <r>
          <rPr>
            <u/>
            <sz val="9"/>
            <color indexed="81"/>
            <rFont val="Tahoma"/>
            <family val="2"/>
          </rPr>
          <t xml:space="preserve"> 111.30</t>
        </r>
        <r>
          <rPr>
            <sz val="9"/>
            <color indexed="81"/>
            <rFont val="Tahoma"/>
            <family val="2"/>
          </rPr>
          <t xml:space="preserve">
$467.70</t>
        </r>
      </text>
    </comment>
    <comment ref="I218" authorId="0" shapeId="0" xr:uid="{1F708F8C-75AF-4354-BCC6-E59C70F6134C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This is on the same receipt as the $29.70 in account 6220 for a total purchase of $118.91</t>
        </r>
      </text>
    </comment>
    <comment ref="I224" authorId="0" shapeId="0" xr:uid="{4B8FE713-CFC0-4008-AD2A-085AC41252FF}">
      <text>
        <r>
          <rPr>
            <b/>
            <sz val="9"/>
            <color indexed="81"/>
            <rFont val="Tahoma"/>
            <family val="2"/>
          </rPr>
          <t xml:space="preserve">Wendy Badgett
</t>
        </r>
        <r>
          <rPr>
            <sz val="9"/>
            <color indexed="81"/>
            <rFont val="Tahoma"/>
            <family val="2"/>
          </rPr>
          <t xml:space="preserve">On Same recept with:
$  5.99
  </t>
        </r>
        <r>
          <rPr>
            <u/>
            <sz val="9"/>
            <color indexed="81"/>
            <rFont val="Tahoma"/>
            <family val="2"/>
          </rPr>
          <t xml:space="preserve">51.98
</t>
        </r>
        <r>
          <rPr>
            <sz val="9"/>
            <color indexed="81"/>
            <rFont val="Tahoma"/>
            <family val="2"/>
          </rPr>
          <t>$57.97</t>
        </r>
      </text>
    </comment>
    <comment ref="I229" authorId="0" shapeId="0" xr:uid="{506448CC-703E-4550-95CD-06CED40A1B2D}">
      <text>
        <r>
          <rPr>
            <b/>
            <sz val="9"/>
            <color indexed="81"/>
            <rFont val="Tahoma"/>
            <family val="2"/>
          </rPr>
          <t>Wendy Badgett:</t>
        </r>
        <r>
          <rPr>
            <sz val="9"/>
            <color indexed="81"/>
            <rFont val="Tahoma"/>
            <family val="2"/>
          </rPr>
          <t xml:space="preserve">
On Same recept with:
$  5.99
  51.98
$57.97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Brandie Gustafson</author>
  </authors>
  <commentList>
    <comment ref="B17" authorId="0" shapeId="0" xr:uid="{2B8C20B1-57FC-4027-8A00-51E2AB51E26B}">
      <text>
        <r>
          <rPr>
            <b/>
            <sz val="9"/>
            <color indexed="81"/>
            <rFont val="Tahoma"/>
            <family val="2"/>
          </rPr>
          <t>Brandie Gustafson:</t>
        </r>
        <r>
          <rPr>
            <sz val="9"/>
            <color indexed="81"/>
            <rFont val="Tahoma"/>
            <family val="2"/>
          </rPr>
          <t xml:space="preserve">
JESSICA ALLMAN'S SALARY DOES HIT 4129872
</t>
        </r>
      </text>
    </comment>
  </commentList>
</comments>
</file>

<file path=xl/sharedStrings.xml><?xml version="1.0" encoding="utf-8"?>
<sst xmlns="http://schemas.openxmlformats.org/spreadsheetml/2006/main" count="5573" uniqueCount="1257">
  <si>
    <t>Resource</t>
  </si>
  <si>
    <t>Owner/Source</t>
  </si>
  <si>
    <t>QTY</t>
  </si>
  <si>
    <t>Remarks</t>
  </si>
  <si>
    <t>C.  Mass Care &amp; Human Services</t>
  </si>
  <si>
    <t>RESOURCE INVENTORY - PURCHASING</t>
  </si>
  <si>
    <t>PO</t>
  </si>
  <si>
    <t>Vendor</t>
  </si>
  <si>
    <t>Encumbered</t>
  </si>
  <si>
    <t>Paid</t>
  </si>
  <si>
    <t>Acct#</t>
  </si>
  <si>
    <t>4129872-6299</t>
  </si>
  <si>
    <t>Hoyt Enterprises</t>
  </si>
  <si>
    <t>Fire Dept Adm</t>
  </si>
  <si>
    <t>Req by</t>
  </si>
  <si>
    <t>Basket/Howard</t>
  </si>
  <si>
    <t>SCBA mask filter adapters</t>
  </si>
  <si>
    <t>SCBA canister MPC Plus P100 filters</t>
  </si>
  <si>
    <t>Payroll</t>
  </si>
  <si>
    <t>Cycle</t>
  </si>
  <si>
    <t>BW</t>
  </si>
  <si>
    <t>Fire</t>
  </si>
  <si>
    <t>Pay Date</t>
  </si>
  <si>
    <t>3/5/20 - 3/18/20</t>
  </si>
  <si>
    <t>3/4/20 - 3/18/20</t>
  </si>
  <si>
    <t>Total</t>
  </si>
  <si>
    <t>Purchasing</t>
  </si>
  <si>
    <t>TOTAL</t>
  </si>
  <si>
    <t>GL</t>
  </si>
  <si>
    <t>Variance</t>
  </si>
  <si>
    <t>3/19/20 - 4/1/20</t>
  </si>
  <si>
    <t>4/2/20 - 4/15/20</t>
  </si>
  <si>
    <t>4/16/20 - 4/29/20</t>
  </si>
  <si>
    <t>4/30/20 - 5/13/20</t>
  </si>
  <si>
    <t>3/19/20 - 4/2/20</t>
  </si>
  <si>
    <t>4/3/20 - 4/17/20</t>
  </si>
  <si>
    <t>4/18/20 - 5/2/20</t>
  </si>
  <si>
    <t>5/3/20 - 5/17/20</t>
  </si>
  <si>
    <t>5/18/20 - 6/1/20</t>
  </si>
  <si>
    <t>6/2/20 - 6/16/20</t>
  </si>
  <si>
    <t>5/14/20 - 5/27/20</t>
  </si>
  <si>
    <t>5/28/20 - 6/10/20</t>
  </si>
  <si>
    <t>6/11/20 - 6/24/20</t>
  </si>
  <si>
    <t>6/25/20 - 7/8/20</t>
  </si>
  <si>
    <t>6/17/20 - 7/1/20</t>
  </si>
  <si>
    <t>Uline Inc</t>
  </si>
  <si>
    <t>Police</t>
  </si>
  <si>
    <t>Smith/Godfrey</t>
  </si>
  <si>
    <t>10 bxs</t>
  </si>
  <si>
    <t>5 bxs</t>
  </si>
  <si>
    <t xml:space="preserve">Nitrile Gloves-L </t>
  </si>
  <si>
    <t xml:space="preserve">Nitrile Gloves-XL </t>
  </si>
  <si>
    <t>n/a</t>
  </si>
  <si>
    <t>Nitrile Gloves - Shipping cost</t>
  </si>
  <si>
    <t>4129872-6246</t>
  </si>
  <si>
    <t>Fattig/Howard</t>
  </si>
  <si>
    <t>Hooker/Gauthier</t>
  </si>
  <si>
    <t>Hole in the Roof Mktg</t>
  </si>
  <si>
    <t>Face shield protective isolatioin masks, clear</t>
  </si>
  <si>
    <t>Generic face masks, blue</t>
  </si>
  <si>
    <t>Employee</t>
  </si>
  <si>
    <t>Last Name</t>
  </si>
  <si>
    <t>First Name</t>
  </si>
  <si>
    <t>Week 1:  Pre-disaster declaration</t>
  </si>
  <si>
    <t>Straight Time Overtime Hours Week 2</t>
  </si>
  <si>
    <t>Straight Time Overtime Hours Total</t>
  </si>
  <si>
    <t>Pay Rate</t>
  </si>
  <si>
    <t>Overtime Pay for Pay Period</t>
  </si>
  <si>
    <t>E</t>
  </si>
  <si>
    <t>2689</t>
  </si>
  <si>
    <t>AMADOR</t>
  </si>
  <si>
    <t>DREW</t>
  </si>
  <si>
    <t>1556</t>
  </si>
  <si>
    <t>BADGETT</t>
  </si>
  <si>
    <t>WENDY</t>
  </si>
  <si>
    <t>1772</t>
  </si>
  <si>
    <t>BALDERAS</t>
  </si>
  <si>
    <t>EDUARDO</t>
  </si>
  <si>
    <t>2261</t>
  </si>
  <si>
    <t>BASKETT</t>
  </si>
  <si>
    <t>BURNEY</t>
  </si>
  <si>
    <t>1037</t>
  </si>
  <si>
    <t>BROCK</t>
  </si>
  <si>
    <t>JOEY</t>
  </si>
  <si>
    <t>2291</t>
  </si>
  <si>
    <t>BUIE</t>
  </si>
  <si>
    <t>ALEXANDER</t>
  </si>
  <si>
    <t>1739</t>
  </si>
  <si>
    <t>CEASER</t>
  </si>
  <si>
    <t>HANNAH</t>
  </si>
  <si>
    <t>2128</t>
  </si>
  <si>
    <t>ELLEDGE</t>
  </si>
  <si>
    <t>JAMES</t>
  </si>
  <si>
    <t>2251</t>
  </si>
  <si>
    <t>ENNA</t>
  </si>
  <si>
    <t>GARY</t>
  </si>
  <si>
    <t>2021</t>
  </si>
  <si>
    <t>GAUTHIER</t>
  </si>
  <si>
    <t>TIM</t>
  </si>
  <si>
    <t>1133</t>
  </si>
  <si>
    <t>GODFREY</t>
  </si>
  <si>
    <t>MICHAEL</t>
  </si>
  <si>
    <t>1740</t>
  </si>
  <si>
    <t>HOWARD</t>
  </si>
  <si>
    <t>ROBERT</t>
  </si>
  <si>
    <t>2621</t>
  </si>
  <si>
    <t>JACKSON</t>
  </si>
  <si>
    <t>DALE</t>
  </si>
  <si>
    <t>1948</t>
  </si>
  <si>
    <t>JONES</t>
  </si>
  <si>
    <t>RICHARD</t>
  </si>
  <si>
    <t>1541</t>
  </si>
  <si>
    <t>LOPEZ</t>
  </si>
  <si>
    <t>TARA</t>
  </si>
  <si>
    <t>2479</t>
  </si>
  <si>
    <t>MAULADAD</t>
  </si>
  <si>
    <t>MUNAL</t>
  </si>
  <si>
    <t>2412</t>
  </si>
  <si>
    <t>MCAVOY</t>
  </si>
  <si>
    <t>MARK</t>
  </si>
  <si>
    <t>1246</t>
  </si>
  <si>
    <t>MILLER</t>
  </si>
  <si>
    <t>DANIEL</t>
  </si>
  <si>
    <t>2336</t>
  </si>
  <si>
    <t>NOLES</t>
  </si>
  <si>
    <t>RODNEY</t>
  </si>
  <si>
    <t>1618</t>
  </si>
  <si>
    <t>SMITH</t>
  </si>
  <si>
    <t>DAWN</t>
  </si>
  <si>
    <t>2414</t>
  </si>
  <si>
    <t>STEVENS</t>
  </si>
  <si>
    <t>PAUL</t>
  </si>
  <si>
    <t>2686</t>
  </si>
  <si>
    <t>STRANGE</t>
  </si>
  <si>
    <t>BRADLEY</t>
  </si>
  <si>
    <t>1835</t>
  </si>
  <si>
    <t>THOMPSON-BOWERS</t>
  </si>
  <si>
    <t>ELISE</t>
  </si>
  <si>
    <t>1868</t>
  </si>
  <si>
    <t>TOWNSEND</t>
  </si>
  <si>
    <t>KIMBERLY</t>
  </si>
  <si>
    <t>2688</t>
  </si>
  <si>
    <t>TUCKER</t>
  </si>
  <si>
    <t>JANET</t>
  </si>
  <si>
    <t>1760</t>
  </si>
  <si>
    <t>WARD</t>
  </si>
  <si>
    <t>JULIE</t>
  </si>
  <si>
    <t>1366</t>
  </si>
  <si>
    <t>WHITEHEAD</t>
  </si>
  <si>
    <t>JEWELL</t>
  </si>
  <si>
    <t>Total Disaster Overtime Pay-Exempt Employees Only</t>
  </si>
  <si>
    <t>CK#</t>
  </si>
  <si>
    <t>CK Date</t>
  </si>
  <si>
    <t>Local Share</t>
  </si>
  <si>
    <t>Federal Share</t>
  </si>
  <si>
    <t>Documentation</t>
  </si>
  <si>
    <t>Complete</t>
  </si>
  <si>
    <t>Y/N</t>
  </si>
  <si>
    <t>Nitrile Gloves-S</t>
  </si>
  <si>
    <t>15 bxs</t>
  </si>
  <si>
    <t>Disinfectant</t>
  </si>
  <si>
    <t>Parks &amp; Rec</t>
  </si>
  <si>
    <t>4129872-6220</t>
  </si>
  <si>
    <t>Pioneer Manufac. Co</t>
  </si>
  <si>
    <t>Ferguson/Smith</t>
  </si>
  <si>
    <t>40MM threaded adapter</t>
  </si>
  <si>
    <t>SCBA supplies - shipping cost</t>
  </si>
  <si>
    <t>Betty Mills Co</t>
  </si>
  <si>
    <t>PCARD</t>
  </si>
  <si>
    <t>Home Depot</t>
  </si>
  <si>
    <t>Zoro Tools</t>
  </si>
  <si>
    <t>Harbor Freight</t>
  </si>
  <si>
    <t>4129872-6245</t>
  </si>
  <si>
    <t>4129872-6247</t>
  </si>
  <si>
    <t>Michael's Keys</t>
  </si>
  <si>
    <t>CVS</t>
  </si>
  <si>
    <t xml:space="preserve"> Dollar Tree</t>
  </si>
  <si>
    <t>United Laboratories Inc</t>
  </si>
  <si>
    <t>For Jail COVID disinfect</t>
  </si>
  <si>
    <t>KN95 Medical Masks, White</t>
  </si>
  <si>
    <t>21" Disposable Nurse Caps, Blue</t>
  </si>
  <si>
    <t>Generic Disposable Face Masks, Blue</t>
  </si>
  <si>
    <t>Elledge/Enna</t>
  </si>
  <si>
    <t>Gauthier/Howard</t>
  </si>
  <si>
    <t>W.W. Grainger Inc</t>
  </si>
  <si>
    <t>S8500 Ratchet faceshield assembly</t>
  </si>
  <si>
    <t>Reusable face shield, clear</t>
  </si>
  <si>
    <t>Walmart</t>
  </si>
  <si>
    <t>Spray Paint</t>
  </si>
  <si>
    <t>for social distancing signs on trails</t>
  </si>
  <si>
    <t>Future P-Cards</t>
  </si>
  <si>
    <t>Hand Sanitizer</t>
  </si>
  <si>
    <t>4 gal</t>
  </si>
  <si>
    <t>Gojo Green Certified</t>
  </si>
  <si>
    <t>Sustainable Supply</t>
  </si>
  <si>
    <t>Public Works</t>
  </si>
  <si>
    <t>Hand Sanitizer &amp; Disinfectant Wipes</t>
  </si>
  <si>
    <t>&gt;&gt;&gt;&gt;</t>
  </si>
  <si>
    <t>1 case san, 12 (16oz) san, 1 case wipes</t>
  </si>
  <si>
    <t>Chaney Paper, Inc</t>
  </si>
  <si>
    <t>Face Shields</t>
  </si>
  <si>
    <t>Sellstrom 381 Series w/anti-fog</t>
  </si>
  <si>
    <t>Bakersgas</t>
  </si>
  <si>
    <t>Leal/Enna</t>
  </si>
  <si>
    <t>Rubber Gloves &amp; Body Suits</t>
  </si>
  <si>
    <t>&gt;&gt;&gt;</t>
  </si>
  <si>
    <t>Grainger</t>
  </si>
  <si>
    <t>Body Suits</t>
  </si>
  <si>
    <t>6 (PK2)</t>
  </si>
  <si>
    <t>24 gloves, 6 (PK2) XL body suits</t>
  </si>
  <si>
    <t>3XL body suits</t>
  </si>
  <si>
    <t>Gloves</t>
  </si>
  <si>
    <t>Court</t>
  </si>
  <si>
    <t>3 bxs</t>
  </si>
  <si>
    <t>Office Depot</t>
  </si>
  <si>
    <t>Stanley/Liston</t>
  </si>
  <si>
    <t>3 boxes of 100</t>
  </si>
  <si>
    <t>10  33.8 oz bottles</t>
  </si>
  <si>
    <t>Webcams (for virtual court)</t>
  </si>
  <si>
    <t>Logitech C922 Pro stream</t>
  </si>
  <si>
    <t>6 (12oz) san, 2 gloves, 8 wipes</t>
  </si>
  <si>
    <t>Hand Sanitizer, Gloves,&amp; Disinfectant Wipes</t>
  </si>
  <si>
    <t>1 gal zip lock bags &amp; sharpies</t>
  </si>
  <si>
    <t>1 box zip lock, 2 sharpies</t>
  </si>
  <si>
    <t>Duct tape</t>
  </si>
  <si>
    <t>to drape COVID ambulance</t>
  </si>
  <si>
    <t>N95 Face Masks</t>
  </si>
  <si>
    <t>Kelly Moore Paints</t>
  </si>
  <si>
    <t>N95, 3M vented</t>
  </si>
  <si>
    <t>N95</t>
  </si>
  <si>
    <t>4 bxs (200ct) gloves,5 spray,6 bukts</t>
  </si>
  <si>
    <t>Vinyl golves, 1-gal sprayers, 5gal buckets, lids</t>
  </si>
  <si>
    <t>Disposable gowns</t>
  </si>
  <si>
    <t>2 bxs</t>
  </si>
  <si>
    <t>2 boxes of 100 count</t>
  </si>
  <si>
    <t>Dallaswear Uniforms</t>
  </si>
  <si>
    <t xml:space="preserve">Disinfectant </t>
  </si>
  <si>
    <t>Empire Paper Company</t>
  </si>
  <si>
    <t>Latex Boot Protectors</t>
  </si>
  <si>
    <t>24 XL, 24XXL</t>
  </si>
  <si>
    <t>MERV13 air filters</t>
  </si>
  <si>
    <t>Thermometer Probe Covers</t>
  </si>
  <si>
    <t>VES Medical</t>
  </si>
  <si>
    <t>Hooker/Howard</t>
  </si>
  <si>
    <t>Temporal Thermometers</t>
  </si>
  <si>
    <t>Bell/Howard</t>
  </si>
  <si>
    <t>1 stainer, 4 (128oz dis) for DECON</t>
  </si>
  <si>
    <t>Duct Tape &amp; HEPPA Filter</t>
  </si>
  <si>
    <t>2 duct tape, 1 HEPPA filter (DECON)</t>
  </si>
  <si>
    <t>Buckets (5 gal)</t>
  </si>
  <si>
    <t>Duct Tape</t>
  </si>
  <si>
    <t>Ensley/Howard</t>
  </si>
  <si>
    <t>Murphy/Howard</t>
  </si>
  <si>
    <t>Plastic, Plastic Containers, Duct Tape</t>
  </si>
  <si>
    <t>2 rolls plastic,2 totes, 6 duct tape</t>
  </si>
  <si>
    <t>Brock/Howard</t>
  </si>
  <si>
    <t>Sprayer</t>
  </si>
  <si>
    <t>Sprayer &amp; Disinfectant</t>
  </si>
  <si>
    <t>Sprayer &amp; Misc DECON supplies</t>
  </si>
  <si>
    <t>Safety Glasses</t>
  </si>
  <si>
    <t>Bleach, Pine Sol, Spray Bottles</t>
  </si>
  <si>
    <t>9 bleach, 1 pine sol, 15 spray bttls</t>
  </si>
  <si>
    <t>Amazon</t>
  </si>
  <si>
    <t>9 boxes of 250 count</t>
  </si>
  <si>
    <t>Ward/Howrd</t>
  </si>
  <si>
    <t xml:space="preserve">Sprayers </t>
  </si>
  <si>
    <t>2 gal sprayers</t>
  </si>
  <si>
    <t>Day/Smith</t>
  </si>
  <si>
    <t>Packaging Tape</t>
  </si>
  <si>
    <t>for signs to close playgrounds</t>
  </si>
  <si>
    <t>for signs to social distance playgrounds</t>
  </si>
  <si>
    <t>Sanitization services of N95 masks (weekly)</t>
  </si>
  <si>
    <t>Buckets, lids, spray bottles</t>
  </si>
  <si>
    <t>1cs ea</t>
  </si>
  <si>
    <t>1case wipes, 1case hand sanit.</t>
  </si>
  <si>
    <t>Hand Sanitizer &amp; Toilet Paper</t>
  </si>
  <si>
    <t>2cases TP, 1case hand sanit.</t>
  </si>
  <si>
    <t>10 (64oz ea)</t>
  </si>
  <si>
    <t>Hands Free Door Opener/Door Pull</t>
  </si>
  <si>
    <t>1 pkg of 10</t>
  </si>
  <si>
    <t>Commun Dev</t>
  </si>
  <si>
    <t>10 bottles, 2 tubs</t>
  </si>
  <si>
    <t>Disinfectant - Clorox</t>
  </si>
  <si>
    <t>Target</t>
  </si>
  <si>
    <t>Lozada/Mauladad</t>
  </si>
  <si>
    <t>1 pkg of 4</t>
  </si>
  <si>
    <t>Safety Goggles</t>
  </si>
  <si>
    <t>2 (3pc)</t>
  </si>
  <si>
    <t>Tucker/Mauladad</t>
  </si>
  <si>
    <t>4129872-6200</t>
  </si>
  <si>
    <t>Posted</t>
  </si>
  <si>
    <t>Scott Martinez</t>
  </si>
  <si>
    <t>2 boxes of 250</t>
  </si>
  <si>
    <t>Library</t>
  </si>
  <si>
    <t>Liquid hand soap</t>
  </si>
  <si>
    <t>6 (7.5oz) pump bottles</t>
  </si>
  <si>
    <t>Kennedy/Tschoerner</t>
  </si>
  <si>
    <t>Lysol disinfectant</t>
  </si>
  <si>
    <t>1cs</t>
  </si>
  <si>
    <t>Liquid hand soap &amp; diswashing liquid</t>
  </si>
  <si>
    <t>1 ea</t>
  </si>
  <si>
    <t>1 case of 12 pump bottles</t>
  </si>
  <si>
    <t>1 case of 12 aerosol cans</t>
  </si>
  <si>
    <t>Var</t>
  </si>
  <si>
    <t>COVID-19 graphics</t>
  </si>
  <si>
    <t>Public Info</t>
  </si>
  <si>
    <t>COVID graphics for newsletters, etc</t>
  </si>
  <si>
    <t>Kerry Shearer Ent LLC</t>
  </si>
  <si>
    <t>Rist / Funderburk</t>
  </si>
  <si>
    <t>Public Health Signs</t>
  </si>
  <si>
    <t>CM Office</t>
  </si>
  <si>
    <t>Wash Hands &amp; Contagious signs</t>
  </si>
  <si>
    <t>Flat Rate Printing &amp; Promotions</t>
  </si>
  <si>
    <t>Whitehead/Howard</t>
  </si>
  <si>
    <t>Conference calling service</t>
  </si>
  <si>
    <t>Neighb Life</t>
  </si>
  <si>
    <t>Conf call service for RCOAD mtg</t>
  </si>
  <si>
    <t>FreeConferenceCall.com</t>
  </si>
  <si>
    <t>Bowers/Mauladad</t>
  </si>
  <si>
    <t>Refillable bottles for hand sanitizer</t>
  </si>
  <si>
    <t>Fire dept Adm</t>
  </si>
  <si>
    <t>88 bottles for hand sanitizer</t>
  </si>
  <si>
    <t>Balderas/Howard</t>
  </si>
  <si>
    <t>45 bottles for hand sanitizer</t>
  </si>
  <si>
    <t>refund 88 bottles for hand sanitizer</t>
  </si>
  <si>
    <t>Benefits
Obj 6100-6199</t>
  </si>
  <si>
    <t>Salaries/OT
obj 6000-6099</t>
  </si>
  <si>
    <t>4129872-6512</t>
  </si>
  <si>
    <t>4129872-6526</t>
  </si>
  <si>
    <t>4129872-6699</t>
  </si>
  <si>
    <t>N95 Hiorian Con Particilate Respirator masks</t>
  </si>
  <si>
    <t>Modern Rescue USA</t>
  </si>
  <si>
    <t>Shipping cost</t>
  </si>
  <si>
    <t>Robert Bohmer</t>
  </si>
  <si>
    <t>3M Scotch double sided indoor mounting tape</t>
  </si>
  <si>
    <t>(2) 9.72yds ea-to mount COVID signs</t>
  </si>
  <si>
    <t>Lysol wipes &amp; spray and handsoap</t>
  </si>
  <si>
    <t>1wipes,1spray, 2 handsoap</t>
  </si>
  <si>
    <t>Towels</t>
  </si>
  <si>
    <t>for disinfecting returned library materials &amp; workstations</t>
  </si>
  <si>
    <t>Barott/Tschoerner</t>
  </si>
  <si>
    <t>Disinfectant spray</t>
  </si>
  <si>
    <t>Wireless doorbells</t>
  </si>
  <si>
    <t>for Annex &amp; City Hall</t>
  </si>
  <si>
    <t>8 pr S/M</t>
  </si>
  <si>
    <t>Disinfectant,spray bottles,magic erasers</t>
  </si>
  <si>
    <t>(2) 1gal disin,4spr.bottls,4-8pk erasers</t>
  </si>
  <si>
    <t>Hand sanitizer</t>
  </si>
  <si>
    <t>Bakersgas.com</t>
  </si>
  <si>
    <t>Duplicate keys</t>
  </si>
  <si>
    <t>for staff access to closed facilities</t>
  </si>
  <si>
    <t>Thermometers</t>
  </si>
  <si>
    <t>digital infrared forehead/ear</t>
  </si>
  <si>
    <t>disinfect patrol cars</t>
  </si>
  <si>
    <t>8 ea</t>
  </si>
  <si>
    <t>Face shield w anti fog</t>
  </si>
  <si>
    <t>(payment 1 of 2)for use in MICU</t>
  </si>
  <si>
    <t>(payment 2 of 2) for use in MICU</t>
  </si>
  <si>
    <t>Paper sacks</t>
  </si>
  <si>
    <t>for storage of fire N95 masks</t>
  </si>
  <si>
    <t>DFW Clean Sleep Mattress</t>
  </si>
  <si>
    <t>3pks</t>
  </si>
  <si>
    <t>Y</t>
  </si>
  <si>
    <t>Nitrile Gloves</t>
  </si>
  <si>
    <t>12 bxs</t>
  </si>
  <si>
    <t>M (2 bxs), L (10 bxs)</t>
  </si>
  <si>
    <t>Sprayer,bucket,lid &amp; Decon supplies</t>
  </si>
  <si>
    <t>2sprayer,2bucket,2lid,1brush,1pkg towels</t>
  </si>
  <si>
    <t>Thermometers - Forehead non-contact</t>
  </si>
  <si>
    <t>Ferguson Facilities Supply</t>
  </si>
  <si>
    <t>City-wide</t>
  </si>
  <si>
    <t>(20) 1L bottles</t>
  </si>
  <si>
    <t>(4) 6-packs of 32oz bottles w sprayer</t>
  </si>
  <si>
    <t>Clorox Wipes</t>
  </si>
  <si>
    <t>(4) 2-pack 700-wipe packages</t>
  </si>
  <si>
    <t>(1) 700-wipe package</t>
  </si>
  <si>
    <t>Thermometer - Forehead non-contact</t>
  </si>
  <si>
    <t>Neighborhood Life</t>
  </si>
  <si>
    <t>City-Wide</t>
  </si>
  <si>
    <t>IT</t>
  </si>
  <si>
    <t>4129872-6280</t>
  </si>
  <si>
    <t>Southern Computer Warehouse, Inc</t>
  </si>
  <si>
    <t>Brock/McAvoy</t>
  </si>
  <si>
    <t>1 Elitebook, 3yr service plan, Dock</t>
  </si>
  <si>
    <t>Shower curtains &amp; rings</t>
  </si>
  <si>
    <t>3 ea</t>
  </si>
  <si>
    <t>for police shower stations</t>
  </si>
  <si>
    <t>PVC pipe, hanger strap, cement, gloves</t>
  </si>
  <si>
    <t>Disinfectant packets</t>
  </si>
  <si>
    <t>(4)400/0.05oz,(2)100/0.5oz,(1)36/4oz</t>
  </si>
  <si>
    <t>for ambulance patient compartment</t>
  </si>
  <si>
    <t>Thermometers (CREDIT)</t>
  </si>
  <si>
    <t>Amazon/Joy Memory</t>
  </si>
  <si>
    <t>KN95 Masks</t>
  </si>
  <si>
    <t>48 pks of 10</t>
  </si>
  <si>
    <t>2 pks of 10</t>
  </si>
  <si>
    <t>4129872-6248</t>
  </si>
  <si>
    <t>Unknown at this time</t>
  </si>
  <si>
    <t>Technology for virtual court proceedings</t>
  </si>
  <si>
    <t>Sneeze guards</t>
  </si>
  <si>
    <t>Laird Plastics Inc</t>
  </si>
  <si>
    <t>for desk/counter mount</t>
  </si>
  <si>
    <t>Tschoerner/Stevens</t>
  </si>
  <si>
    <t>46x46 social distancing signs</t>
  </si>
  <si>
    <t>(2) 46x46 polyethylene stencil signs</t>
  </si>
  <si>
    <t>Cleaver/Smith</t>
  </si>
  <si>
    <t>Social distancing floor graphics</t>
  </si>
  <si>
    <t>(18) packs of 15x15 gloor graphics</t>
  </si>
  <si>
    <t>Building Decontamination service</t>
  </si>
  <si>
    <t>4129872-6599</t>
  </si>
  <si>
    <t>Stratus Building Solutions</t>
  </si>
  <si>
    <t>TipTop Turnkey LLC</t>
  </si>
  <si>
    <t>(10) 2L bottles</t>
  </si>
  <si>
    <t>(30) 125ct single use packets</t>
  </si>
  <si>
    <t>(4) 1gal bottles</t>
  </si>
  <si>
    <t>Sneeze Guards - 36x36</t>
  </si>
  <si>
    <t>Laird Plastics</t>
  </si>
  <si>
    <t>(8) 128 fl.oz bottles</t>
  </si>
  <si>
    <t>Misc hardware</t>
  </si>
  <si>
    <t>Hardware for sneeze guard installation</t>
  </si>
  <si>
    <t>Double sided tape for sneeze guard installation</t>
  </si>
  <si>
    <t>Lowes</t>
  </si>
  <si>
    <t>(6) 1 in x 33.33 ft</t>
  </si>
  <si>
    <t>Face masks</t>
  </si>
  <si>
    <t>Kahler/Signature Signs &amp; Graphics</t>
  </si>
  <si>
    <r>
      <t xml:space="preserve">ESICK - </t>
    </r>
    <r>
      <rPr>
        <sz val="11"/>
        <rFont val="Calibri"/>
        <family val="2"/>
        <scheme val="minor"/>
      </rPr>
      <t xml:space="preserve">The total expense incurred  to date for employees that have been required to quarantine and </t>
    </r>
  </si>
  <si>
    <t xml:space="preserve">               were not able to work from home due to the nature of their job </t>
  </si>
  <si>
    <t>CHECK DATE</t>
  </si>
  <si>
    <t>DEPARTMENT</t>
  </si>
  <si>
    <t>HOURS</t>
  </si>
  <si>
    <t>SALARY</t>
  </si>
  <si>
    <t>TMRS</t>
  </si>
  <si>
    <t>MEDICARE</t>
  </si>
  <si>
    <t>WC</t>
  </si>
  <si>
    <t>CODE ENFORCEMENT</t>
  </si>
  <si>
    <t>FACILITIES</t>
  </si>
  <si>
    <t>BLDG INSPECTION</t>
  </si>
  <si>
    <t>POLICE</t>
  </si>
  <si>
    <t>POLICE-DISPATCH</t>
  </si>
  <si>
    <t>WASTE WATER</t>
  </si>
  <si>
    <t>POLICE-DETENTION</t>
  </si>
  <si>
    <r>
      <rPr>
        <b/>
        <sz val="11"/>
        <color rgb="FFFF0000"/>
        <rFont val="Calibri"/>
        <family val="2"/>
        <scheme val="minor"/>
      </rPr>
      <t>ADMIN-COVID</t>
    </r>
    <r>
      <rPr>
        <sz val="11"/>
        <color theme="1"/>
        <rFont val="Calibri"/>
        <family val="2"/>
        <scheme val="minor"/>
      </rPr>
      <t xml:space="preserve"> – This is the total expense incurred from employees in Parks &amp; Public Works due to their job </t>
    </r>
  </si>
  <si>
    <t>duties and the fact that they are not able to work from home and are working less than 40  hours</t>
  </si>
  <si>
    <t>a week due to the schedule rotations.  The city does not have enough vehicles for everyone</t>
  </si>
  <si>
    <t xml:space="preserve"> to be working at the same time and these departments have implemented rotating schedules </t>
  </si>
  <si>
    <t>to comply with social distancing requirements. </t>
  </si>
  <si>
    <r>
      <rPr>
        <i/>
        <sz val="11"/>
        <color rgb="FFFF0000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 xml:space="preserve"> - We have not found a concrete guideline where this would be a reimbursable </t>
    </r>
  </si>
  <si>
    <t>expense, but want it on the radar since it has the potential to be costly to the City and</t>
  </si>
  <si>
    <t>possibly noted eligible for reimbursement at at later date</t>
  </si>
  <si>
    <t>At this time, this payroll cost is NOT in the Disaster Fund and is NOT included in the Cost Tracking Summary</t>
  </si>
  <si>
    <t>y</t>
  </si>
  <si>
    <t>Headphones (for virtual court)</t>
  </si>
  <si>
    <t>Double sided tape for public health signs</t>
  </si>
  <si>
    <t>3 rolls</t>
  </si>
  <si>
    <t>Alkaline AAA batteries</t>
  </si>
  <si>
    <t>4 pks of 24 ea</t>
  </si>
  <si>
    <t>POLICE-RECORDS</t>
  </si>
  <si>
    <t>FIRE ADMINISTRATION</t>
  </si>
  <si>
    <t>PARS</t>
  </si>
  <si>
    <t>DRAINAGE 7017050</t>
  </si>
  <si>
    <t>PARKS MAINT 1015505</t>
  </si>
  <si>
    <t>WATER 5017010</t>
  </si>
  <si>
    <t>WWATER 5017015</t>
  </si>
  <si>
    <t>CPWSSEWER 5208102</t>
  </si>
  <si>
    <t>STREETS 1015005</t>
  </si>
  <si>
    <t>CPGOSTREETS 3028002</t>
  </si>
  <si>
    <t>VEHICLE MAINT 1015010</t>
  </si>
  <si>
    <t>Shelving for COVID-19 supply storage</t>
  </si>
  <si>
    <t>Chains, ceiling hooks, hook connectors</t>
  </si>
  <si>
    <t>Chain,links,S-hooks, anchor shackles</t>
  </si>
  <si>
    <t>Stantchions with chains</t>
  </si>
  <si>
    <t>(1) 6pk stanchions, (1) 50ft chain</t>
  </si>
  <si>
    <t>Zoro</t>
  </si>
  <si>
    <t xml:space="preserve">Peruna Glass Inc DBA Glass Doctor </t>
  </si>
  <si>
    <t>Glass slider windows &amp; installation labor</t>
  </si>
  <si>
    <t>(2) 1/4" tempered glass &amp; installation</t>
  </si>
  <si>
    <r>
      <t xml:space="preserve">Payroll - </t>
    </r>
    <r>
      <rPr>
        <b/>
        <sz val="11"/>
        <color rgb="FFFF0000"/>
        <rFont val="Calibri"/>
        <family val="2"/>
        <scheme val="minor"/>
      </rPr>
      <t>COVID-19</t>
    </r>
  </si>
  <si>
    <r>
      <t xml:space="preserve">Payroll - </t>
    </r>
    <r>
      <rPr>
        <b/>
        <sz val="11"/>
        <color rgb="FFFF0000"/>
        <rFont val="Calibri"/>
        <family val="2"/>
        <scheme val="minor"/>
      </rPr>
      <t>PTR-Protest Rowlett</t>
    </r>
  </si>
  <si>
    <r>
      <t xml:space="preserve">Payroll - </t>
    </r>
    <r>
      <rPr>
        <b/>
        <sz val="11"/>
        <color rgb="FFFF0000"/>
        <rFont val="Calibri"/>
        <family val="2"/>
        <scheme val="minor"/>
      </rPr>
      <t>PTMA-Protest Mutual Aid</t>
    </r>
  </si>
  <si>
    <t>COVID-19   GL COST SUMMARY     (4129872)</t>
  </si>
  <si>
    <t>PTR - Protest-Rowlett   GL COST SUMMARY     (4129873)</t>
  </si>
  <si>
    <t>PTMA - Protest-Mutual Aid   GL COST SUMMARY  (4129874)</t>
  </si>
  <si>
    <t>COVID-19</t>
  </si>
  <si>
    <t>EE Home</t>
  </si>
  <si>
    <t xml:space="preserve"> Rate @</t>
  </si>
  <si>
    <t>Eligible OT Hours</t>
  </si>
  <si>
    <t>OT Amount</t>
  </si>
  <si>
    <t>Total OT</t>
  </si>
  <si>
    <t>Org</t>
  </si>
  <si>
    <t>EE #</t>
  </si>
  <si>
    <t>Week 1</t>
  </si>
  <si>
    <t>Week 2</t>
  </si>
  <si>
    <t>Pay</t>
  </si>
  <si>
    <t>4129873</t>
  </si>
  <si>
    <t>4129872</t>
  </si>
  <si>
    <t>4129874</t>
  </si>
  <si>
    <t>COMMUNITY CENTER</t>
  </si>
  <si>
    <t>Social distancing signs &amp;floor graphics</t>
  </si>
  <si>
    <t>4 signs, 120 floor markers</t>
  </si>
  <si>
    <t>Whitehead/Stevens</t>
  </si>
  <si>
    <t>Hand wash and face covering signs</t>
  </si>
  <si>
    <t>50 hand wash, 120 face covering</t>
  </si>
  <si>
    <t>Hand Sanitizing Wipes</t>
  </si>
  <si>
    <t>(12) 160 wipe packs</t>
  </si>
  <si>
    <t>Amazon Business</t>
  </si>
  <si>
    <t>Wear Face Mask signs</t>
  </si>
  <si>
    <t>1 mo</t>
  </si>
  <si>
    <t>SignUpGenius.com</t>
  </si>
  <si>
    <t>1 month Pro Platinum membership</t>
  </si>
  <si>
    <t>4129872-6601</t>
  </si>
  <si>
    <t>Aguirre/Smith</t>
  </si>
  <si>
    <t>Sanitizing wipes</t>
  </si>
  <si>
    <t>12 packs of 160 wipes</t>
  </si>
  <si>
    <t>(10) boxes of 300ct</t>
  </si>
  <si>
    <t>(1) 67.6 fl Oz</t>
  </si>
  <si>
    <t>(5) 6-ct 32oz spray bottles</t>
  </si>
  <si>
    <t>(5) 4-ct 1gal bottles</t>
  </si>
  <si>
    <t>Gorilla Tape</t>
  </si>
  <si>
    <t>3 Gorilla Touch &amp; wide for Medic Unit</t>
  </si>
  <si>
    <t>30 boxes of 10 each Med,Lg,XLG</t>
  </si>
  <si>
    <t>Fattig/Gauthier</t>
  </si>
  <si>
    <t>Glove Dispensers</t>
  </si>
  <si>
    <t>238351/238350/238352</t>
  </si>
  <si>
    <t>4129873-6210</t>
  </si>
  <si>
    <t>Food</t>
  </si>
  <si>
    <t>Lunch for Mutual Aid during Protest</t>
  </si>
  <si>
    <t>Eduardo Rene Balderas</t>
  </si>
  <si>
    <t>Global Equipment Company Inc</t>
  </si>
  <si>
    <t>LD Embroidery/Linda Pretersen</t>
  </si>
  <si>
    <t>Nitrite Gloves</t>
  </si>
  <si>
    <t>Bound Tree Medical LLC</t>
  </si>
  <si>
    <t>Fattig/Baskett</t>
  </si>
  <si>
    <t>(24)500ct LG, (16)500ct Med, (24)500ct XL</t>
  </si>
  <si>
    <t>64bxs</t>
  </si>
  <si>
    <t>COVID9 Management Services</t>
  </si>
  <si>
    <t>CDR MaGuire Inc</t>
  </si>
  <si>
    <t>Jackson/Mauladad</t>
  </si>
  <si>
    <t>Tape - ScotchBlue</t>
  </si>
  <si>
    <t>6 rolls</t>
  </si>
  <si>
    <t>(6) 1.41x60yds for social distancing markers</t>
  </si>
  <si>
    <t>social distancing signs &amp; stake</t>
  </si>
  <si>
    <t>Gloves &amp; face masks</t>
  </si>
  <si>
    <t>(2)100ctLg gloves, (2)100ctMd gloves, (4)50ct masks</t>
  </si>
  <si>
    <t>Quarantine hotel room for 1st Responder</t>
  </si>
  <si>
    <t>1 night stay due to high exposure</t>
  </si>
  <si>
    <t>4129872-6540</t>
  </si>
  <si>
    <t>Hilton Hotels &amp; Resorts</t>
  </si>
  <si>
    <t>(12) 18x24 &amp; (12) 30" Heavy duty wire stake</t>
  </si>
  <si>
    <t>Combined on Receipt</t>
  </si>
  <si>
    <t>WATER</t>
  </si>
  <si>
    <t>POLICE-OFFICER</t>
  </si>
  <si>
    <t>Auto Floor Scrubber, Disinfectant</t>
  </si>
  <si>
    <t>1 scrubber, 1 case of 4 gallon bottles</t>
  </si>
  <si>
    <t>Backpack Sprayer</t>
  </si>
  <si>
    <t>(5) 24ct bxs 4oz</t>
  </si>
  <si>
    <t>(10) 36 ct bxs of 1oz</t>
  </si>
  <si>
    <t>(1) 400ct Sm</t>
  </si>
  <si>
    <t>1pk 400</t>
  </si>
  <si>
    <t>Disposable gloves</t>
  </si>
  <si>
    <t>(3) 300ct Sm</t>
  </si>
  <si>
    <t>3pk 300</t>
  </si>
  <si>
    <t>(5) Non-Contact thermometers</t>
  </si>
  <si>
    <t>Thermometer - Non-Contact</t>
  </si>
  <si>
    <t>N95 Respirator Masks</t>
  </si>
  <si>
    <t>(1) 240ct case size M/L</t>
  </si>
  <si>
    <t>Ward/Howard</t>
  </si>
  <si>
    <t>Disposable coveralls w respirator fit hood</t>
  </si>
  <si>
    <t>2pk 25</t>
  </si>
  <si>
    <t>(2) packs of 25, size XL</t>
  </si>
  <si>
    <t>5-shelf (72"H x 36"W x 18"D, black)</t>
  </si>
  <si>
    <t>(6) packs of 25, size XXL</t>
  </si>
  <si>
    <t>(4) packs of 25, Size 3XL</t>
  </si>
  <si>
    <t>Disposable coveralls with hood</t>
  </si>
  <si>
    <t>5-shelf (72"H x 48"W x 18"D, black)</t>
  </si>
  <si>
    <t>OEM</t>
  </si>
  <si>
    <t>Quantum</t>
  </si>
  <si>
    <t>(4) 1 gal, (24) 8oz, (96) 2oz</t>
  </si>
  <si>
    <t>Hand sanitizing wipes</t>
  </si>
  <si>
    <t>(10) 300ct boxes</t>
  </si>
  <si>
    <t>Disposable coveralls</t>
  </si>
  <si>
    <t>(3) 2L bottles</t>
  </si>
  <si>
    <t>(1) 128oz bottle</t>
  </si>
  <si>
    <t>N95 Respirators</t>
  </si>
  <si>
    <t>(10) 20ct boxes</t>
  </si>
  <si>
    <t>(1) 240ct case, size M/L</t>
  </si>
  <si>
    <t>(10) 36ct 1oz bottles</t>
  </si>
  <si>
    <t>4129872-6426</t>
  </si>
  <si>
    <t>Hand Sanitizer stands - pedal activated &amp; Dispensing pumps</t>
  </si>
  <si>
    <t>(4) Dispenser stands, (5) 1gal btl pumps</t>
  </si>
  <si>
    <t>Zoro.com</t>
  </si>
  <si>
    <t>(2) 2L hand soap dispenser &amp; soap</t>
  </si>
  <si>
    <t>Hand soap dispenser (2L) &amp; soap</t>
  </si>
  <si>
    <t>(12) 6-shelves 48"W x 72"H x 18"D, Zinc</t>
  </si>
  <si>
    <t xml:space="preserve">(4) 1080P Full HD </t>
  </si>
  <si>
    <t>Webcams with microphone (for virtual court)</t>
  </si>
  <si>
    <t>Wantek Wired cell phone headset</t>
  </si>
  <si>
    <t>Earbuds for Zoom court</t>
  </si>
  <si>
    <t>Webcam with microphone(for virtual court)</t>
  </si>
  <si>
    <t>1080P HD Webcam</t>
  </si>
  <si>
    <t>Face Masks - 3M N95</t>
  </si>
  <si>
    <t>13bxs</t>
  </si>
  <si>
    <t>(13) 120ct</t>
  </si>
  <si>
    <t>7/2/20 - 7/16/20</t>
  </si>
  <si>
    <t>7/9/20 - 7/22/20</t>
  </si>
  <si>
    <t>7/17/20 - 7/31/20</t>
  </si>
  <si>
    <t>7/23/20 - 8/5/20</t>
  </si>
  <si>
    <t>8/1/20 - 8/15/20</t>
  </si>
  <si>
    <t>8/6/20 - 8/19/20</t>
  </si>
  <si>
    <t>10  36ct</t>
  </si>
  <si>
    <t>11 night stay due to high exposure</t>
  </si>
  <si>
    <t>Springhill Suites by Marriott</t>
  </si>
  <si>
    <t>Webcam with microphone 1080P</t>
  </si>
  <si>
    <t>Webcam for virtual court (to replace defective one)</t>
  </si>
  <si>
    <t>Outdoor social distancing signs</t>
  </si>
  <si>
    <t>for use at events hosted by P&amp;R</t>
  </si>
  <si>
    <t>Primer and paint for outdoor social distancing markers</t>
  </si>
  <si>
    <t>1 primer, 6 flat black - community park</t>
  </si>
  <si>
    <t>(10)500ct LG, (8)500ct Med, (6)500ct XL</t>
  </si>
  <si>
    <t>24bxs</t>
  </si>
  <si>
    <t>Laptops, Docks &amp; Svc Plans for teleworking</t>
  </si>
  <si>
    <t>8 of ea</t>
  </si>
  <si>
    <t>XXXX</t>
  </si>
  <si>
    <t>CRP</t>
  </si>
  <si>
    <t>Thermometer Probe Covers - sales tax reimb</t>
  </si>
  <si>
    <t>Reimbursement for sales tax paid VES Medical p-card 3/31</t>
  </si>
  <si>
    <t>WETZONE</t>
  </si>
  <si>
    <t>CPWSSEWER</t>
  </si>
  <si>
    <t>DRAINAGE</t>
  </si>
  <si>
    <t>ANIMAL CONTROL</t>
  </si>
  <si>
    <t>3 cases</t>
  </si>
  <si>
    <t>Wedge Supply</t>
  </si>
  <si>
    <t>12 cans</t>
  </si>
  <si>
    <t>Shipping for Hand Sanitizer from 7.9.20</t>
  </si>
  <si>
    <t>na</t>
  </si>
  <si>
    <t>(30) 67.6oz bottles Amazon Brand</t>
  </si>
  <si>
    <t>(50) 3pk 75ct cans</t>
  </si>
  <si>
    <t>(200) 80ct cans</t>
  </si>
  <si>
    <t>Disinfecting Wipes - Lysol</t>
  </si>
  <si>
    <t>Disinfecting Wipes - Clorox</t>
  </si>
  <si>
    <t>Coveralls</t>
  </si>
  <si>
    <t>(2) 25pk XL disposal w/respirator fit hood &amp; elastic cuff</t>
  </si>
  <si>
    <t>(8) 25pk 2XL disposal w/respirator fit hood &amp; elastic cuff</t>
  </si>
  <si>
    <t>(2) 25pk 3XL disposal w/respirator fit hood &amp; elastic cuff</t>
  </si>
  <si>
    <t>3/12/20 - 6/10/20</t>
  </si>
  <si>
    <t xml:space="preserve">Various-EMC </t>
  </si>
  <si>
    <t>RFR#1</t>
  </si>
  <si>
    <t>ROBUST Round 1</t>
  </si>
  <si>
    <t>Econ Dev</t>
  </si>
  <si>
    <t>DallasCo CRF ROBUST Round 1</t>
  </si>
  <si>
    <t>Rowlett Chamber Foundation</t>
  </si>
  <si>
    <t>Council RES-044-20</t>
  </si>
  <si>
    <t>4129872-6708</t>
  </si>
  <si>
    <t>Metro Fire Apparatus Specialists Inc</t>
  </si>
  <si>
    <t>Respirators Fire Apparatus Equip</t>
  </si>
  <si>
    <t>Decontamination Equip &amp; Supplies</t>
  </si>
  <si>
    <t>Aeroclave LLC</t>
  </si>
  <si>
    <t>30 Scott AV-3000 HT full face respirators, 40 AV-3000 compatible 3M Scott C240 PAPRs, and associated equip and fitting serivces</t>
  </si>
  <si>
    <t>130+40</t>
  </si>
  <si>
    <t>Council RES-091-20</t>
  </si>
  <si>
    <t>AeroClave Room Decon System Model 3110 (RDS3110) &amp; assoc equip and supplies</t>
  </si>
  <si>
    <t>bulk to refil P&amp;R dispensers in offices &amp; warehouse</t>
  </si>
  <si>
    <t>(5)8oz pks 8: P&amp;R work trucks&amp;equipment</t>
  </si>
  <si>
    <t>Comfort Suites</t>
  </si>
  <si>
    <t>(10) 25pk 2XL disposal hooded w elastic cuff &amp; ankles</t>
  </si>
  <si>
    <t>(3) 25pk 3XL disposal w/respirator fit hood &amp; elastic cuff</t>
  </si>
  <si>
    <t>Laptops Svc Plans for teleworking</t>
  </si>
  <si>
    <t>(8)Elitebook,(8)dock</t>
  </si>
  <si>
    <t>(8)4yr svc for elitebooks</t>
  </si>
  <si>
    <t>33bxs</t>
  </si>
  <si>
    <t>(33) 120ct</t>
  </si>
  <si>
    <t>Headphones for virtual court</t>
  </si>
  <si>
    <t>foldable wired headphones</t>
  </si>
  <si>
    <t>(12) 48"W x 18"D, Black wire Lorell shelving</t>
  </si>
  <si>
    <t>Webcam with microphone</t>
  </si>
  <si>
    <t>(12) UNZANO 1080P for laptop and desktop</t>
  </si>
  <si>
    <t>Signs &amp; Designs/Mario Moralez</t>
  </si>
  <si>
    <t>4129872-6281</t>
  </si>
  <si>
    <t>Zoom annual licenses</t>
  </si>
  <si>
    <t>(10) 1yr 350minute licenses@100 attendees</t>
  </si>
  <si>
    <t>CDW-G</t>
  </si>
  <si>
    <t>JE'd to reclass this to disaster fund</t>
  </si>
  <si>
    <t>PW ADMIN</t>
  </si>
  <si>
    <t>FIRE OPS</t>
  </si>
  <si>
    <t>8/16/20 - 8/30/20</t>
  </si>
  <si>
    <t>8/31/20 - 9/14/20</t>
  </si>
  <si>
    <t>9/15/20 - 9/29/20</t>
  </si>
  <si>
    <t>9/30/20-10/14 (1day)</t>
  </si>
  <si>
    <t>8/20/20 - 9/2/20</t>
  </si>
  <si>
    <t>9/3/20 - 9/16/20</t>
  </si>
  <si>
    <t>9/17/20 - 9/30/20</t>
  </si>
  <si>
    <t>150bxs</t>
  </si>
  <si>
    <t>(50)100ct LG, (100)50ct XL</t>
  </si>
  <si>
    <t>Defective Webcam</t>
  </si>
  <si>
    <t>Refund webcam</t>
  </si>
  <si>
    <t>Funding Source</t>
  </si>
  <si>
    <t>CESF-6</t>
  </si>
  <si>
    <t>CESF-A</t>
  </si>
  <si>
    <t>CESF-3</t>
  </si>
  <si>
    <t>CESF-4</t>
  </si>
  <si>
    <t>CESF-9</t>
  </si>
  <si>
    <t>CESF-10</t>
  </si>
  <si>
    <t>CESF-7</t>
  </si>
  <si>
    <t>CESF-8</t>
  </si>
  <si>
    <t>CESF-1</t>
  </si>
  <si>
    <t>CESF-2</t>
  </si>
  <si>
    <t>DCCRF-CITY</t>
  </si>
  <si>
    <t>TDEM-CRF</t>
  </si>
  <si>
    <t>CESF-EQUIP</t>
  </si>
  <si>
    <t>A</t>
  </si>
  <si>
    <t>Rcls back to home org (period 11)</t>
  </si>
  <si>
    <t>JE 783</t>
  </si>
  <si>
    <t>B</t>
  </si>
  <si>
    <t>JE 782</t>
  </si>
  <si>
    <t>JE 781</t>
  </si>
  <si>
    <t>C</t>
  </si>
  <si>
    <t>D</t>
  </si>
  <si>
    <t>JE 776</t>
  </si>
  <si>
    <t>JE 774</t>
  </si>
  <si>
    <t xml:space="preserve"> RECLASSED FROM 4129872-6246 PD 11 KT</t>
  </si>
  <si>
    <t>(1) size 3XL</t>
  </si>
  <si>
    <t>(3) size 3XL</t>
  </si>
  <si>
    <t>ROBUST Round 2</t>
  </si>
  <si>
    <t>DallasCo CRF ROBUST Round 2</t>
  </si>
  <si>
    <t>Council RES-108-20</t>
  </si>
  <si>
    <t>Rcls Protest Food Reimb to home org</t>
  </si>
  <si>
    <t>period 11 JE 768</t>
  </si>
  <si>
    <t>(4)1gal soap,(1)6pkCase bleach,(1)32oz spray disinfectant</t>
  </si>
  <si>
    <t>Admin Fees for 3rd Party CARES Act Funding</t>
  </si>
  <si>
    <t>Per Council RES-113-20, 9/15/20</t>
  </si>
  <si>
    <t>Catholic Charities of Dallas Inc</t>
  </si>
  <si>
    <t>Initial allocation for Indiv/Hhold Asstce Program</t>
  </si>
  <si>
    <t>Per Council RES-114-20, 9/15/20</t>
  </si>
  <si>
    <t>4129872-6300</t>
  </si>
  <si>
    <t>Action Taken</t>
  </si>
  <si>
    <t>PO &amp; $1132.16 RCL to CESF 9/21-22/20</t>
  </si>
  <si>
    <t>Claimed on</t>
  </si>
  <si>
    <t>Report?</t>
  </si>
  <si>
    <t>Line 2 RCL to DCCRF 9/21/20</t>
  </si>
  <si>
    <t>$7,500.00 RCL to CESF 9/22/20</t>
  </si>
  <si>
    <t>DCCRF-CITY/TDEM CRF/CESF</t>
  </si>
  <si>
    <t>PO RCL per task order brkout 9/21/20</t>
  </si>
  <si>
    <t>PO RCL to DCCRF 9/21/20</t>
  </si>
  <si>
    <t>$1608.50 RCL to DCCRF 9/22/20</t>
  </si>
  <si>
    <t>Multiple Event Response (MERT)3 trailer</t>
  </si>
  <si>
    <t>80"x16" trailer for COVID Point of Distribution site operations</t>
  </si>
  <si>
    <t>Powell Safety Solutions</t>
  </si>
  <si>
    <t>12 btls</t>
  </si>
  <si>
    <t>(2)6pk 32oz bottles disinfecting cleaner</t>
  </si>
  <si>
    <t>RCLS TECHNOLOGY EXP TO DCCRF</t>
  </si>
  <si>
    <t>Townsend/Lopez</t>
  </si>
  <si>
    <t>2020/12 JE 930</t>
  </si>
  <si>
    <t>RCLS SUPPLIES EXP TO DCCRF</t>
  </si>
  <si>
    <t>RCLS SAFETY SUPPLY EXP TO DCCRF</t>
  </si>
  <si>
    <t>Grant Rcls</t>
  </si>
  <si>
    <t>RCLS SUPPLIES TO CESF PROJ STRING</t>
  </si>
  <si>
    <t>2020/12 JE 775</t>
  </si>
  <si>
    <t>RCLS SUPPLIES TO DCCRF</t>
  </si>
  <si>
    <t>HD Pro Webcam 1080P with Microphone</t>
  </si>
  <si>
    <t>Webcam with microphone for Zoom mtgs</t>
  </si>
  <si>
    <t>(4) 25ct XL disposal hooded with elastic cuff &amp; ankles</t>
  </si>
  <si>
    <t>(5) 25pk 3XL disposal w/respirator fit hood &amp; elastic cuff</t>
  </si>
  <si>
    <t>(3) 25ct 2XL (1) 2XL disposal hooded with elastic cuff &amp; ankles</t>
  </si>
  <si>
    <t>Shelving for COVID-19 supply storage - REFUND</t>
  </si>
  <si>
    <t>RCLS DISINFECTANT SOLUT TO PRO</t>
  </si>
  <si>
    <t>Disinfecting Wipes - Clorox - REFUND</t>
  </si>
  <si>
    <t>(5) 3pk 75ct cans</t>
  </si>
  <si>
    <t>WIRE</t>
  </si>
  <si>
    <t>4129872-6350</t>
  </si>
  <si>
    <t>Clear Acrylic Panels 1/4"x54"x24</t>
  </si>
  <si>
    <t>Sneeze Guards</t>
  </si>
  <si>
    <t>(10) cases of 36ct, 1oz bottles</t>
  </si>
  <si>
    <t>(10) 67.6 Fl Oz bottles</t>
  </si>
  <si>
    <t>Covid-19 rapid test kits</t>
  </si>
  <si>
    <t>420 COVID-19 rapid tests - employees</t>
  </si>
  <si>
    <t>C3MD</t>
  </si>
  <si>
    <t>Aguirre/Cleaver</t>
  </si>
  <si>
    <t>Pay Period  FY2020</t>
  </si>
  <si>
    <t>FISCAL YEAR 2020</t>
  </si>
  <si>
    <t>FISCAL YEAR 2021</t>
  </si>
  <si>
    <t>Rclsd FY20 back to home org period 11, 2020</t>
  </si>
  <si>
    <t>9/30/20-10/14 (14days)</t>
  </si>
  <si>
    <t>10/1/20-10/14/20</t>
  </si>
  <si>
    <t>4129872-6608</t>
  </si>
  <si>
    <t>ROBUST Round 3</t>
  </si>
  <si>
    <t>DallasCo CRF ROBUST Round 3</t>
  </si>
  <si>
    <t>Council RES-127-20</t>
  </si>
  <si>
    <t>Potential Funding Source</t>
  </si>
  <si>
    <t>Actions Taken</t>
  </si>
  <si>
    <t>Report</t>
  </si>
  <si>
    <t>Found in account (some reclassed)</t>
  </si>
  <si>
    <t>DCCRF</t>
  </si>
  <si>
    <t>DCCRF-SEP 20</t>
  </si>
  <si>
    <t>DCCRF-JUL 20</t>
  </si>
  <si>
    <t>6246-$1608.50 RCL to DCCRF 9/22/20</t>
  </si>
  <si>
    <t>CESF-2 $3530.84
BAL DCCRF-CITY 24,981.16</t>
  </si>
  <si>
    <t>6281-PO RCL to DCCRF 9/21/20</t>
  </si>
  <si>
    <t>The $1,132.16  was originally put on DCCRF Cap Equip project string.  However, was moved to CESF Supplies string after dicussions with Controller &amp; EMC.</t>
  </si>
  <si>
    <t>DCCRF-AUG 20;
removed DCCRF-SEP 20</t>
  </si>
  <si>
    <t>N/A</t>
  </si>
  <si>
    <t>6708-PO RCL to TDEM-CRF 9/21/20</t>
  </si>
  <si>
    <t>This item will no longer be funded by TDEM-CRF; will update funding source/PO once allocation has been determined.  10/13/20</t>
  </si>
  <si>
    <t>6246-$7,500.00 RCL to CESF 9/22/20</t>
  </si>
  <si>
    <t>CESF-OCT 20</t>
  </si>
  <si>
    <t>CESF-OCT 20=$3,530.84 ONLY
DCCRF-SEP 20=$24,981.16 ONLY</t>
  </si>
  <si>
    <t>NONE</t>
  </si>
  <si>
    <t>LIBRARY</t>
  </si>
  <si>
    <t>Social distancing signs</t>
  </si>
  <si>
    <t>for ball fields at Community Park</t>
  </si>
  <si>
    <t>4129872-6353</t>
  </si>
  <si>
    <t>Signs &amp; Designs</t>
  </si>
  <si>
    <t>10/14</t>
  </si>
  <si>
    <t>Rubber mats with social distancing logo</t>
  </si>
  <si>
    <t>for food trucks @ outdoor events</t>
  </si>
  <si>
    <t>American Floor Mats</t>
  </si>
  <si>
    <t>10/15/20 - 10/29/20</t>
  </si>
  <si>
    <t>10/30/20 - 11/13/20</t>
  </si>
  <si>
    <t>11/14/20 - 11/28/20</t>
  </si>
  <si>
    <t>11/29/20 - 12/13/20</t>
  </si>
  <si>
    <t>10/15/20 - 10/28/20</t>
  </si>
  <si>
    <t>10/29/20 - 11/11/20</t>
  </si>
  <si>
    <t>11/12/20 - 11/25/20</t>
  </si>
  <si>
    <t>11/26/20 - 12/9/20</t>
  </si>
  <si>
    <t>12/10/20 - 12/23/20</t>
  </si>
  <si>
    <t>12/14/20 - 12/28/20</t>
  </si>
  <si>
    <t>12/29/20 - 1/12/21</t>
  </si>
  <si>
    <t>1/13/21 - 1/27/21</t>
  </si>
  <si>
    <t>1/28/21 - 2/11/21</t>
  </si>
  <si>
    <t>12/24/20 - 1/6/21</t>
  </si>
  <si>
    <t>1/7/21 - 1/20/21</t>
  </si>
  <si>
    <t>1/21/21 - 2/3/21</t>
  </si>
  <si>
    <t>2/4/21 - 2/17/21</t>
  </si>
  <si>
    <t>2/18/21 - 3/3/21</t>
  </si>
  <si>
    <t>3/4/21 - 3/17/21</t>
  </si>
  <si>
    <t>3/18/21 - 3/31/21</t>
  </si>
  <si>
    <t>4/1/21 - 4/14/21</t>
  </si>
  <si>
    <t>4/15/21 - 4/28/21</t>
  </si>
  <si>
    <t>2/21/21 - 2/26/21</t>
  </si>
  <si>
    <t>2/27/21 - 3/13/21</t>
  </si>
  <si>
    <t>3/14/21 - 3/28/21</t>
  </si>
  <si>
    <t>3/29/21 - 4/12/21</t>
  </si>
  <si>
    <t>4/13/21 - 4/27/21</t>
  </si>
  <si>
    <t>4/28/21 - 5/12/21</t>
  </si>
  <si>
    <t>4/29/21 - 5/12/21</t>
  </si>
  <si>
    <t>5/13/21 - 5/26/21</t>
  </si>
  <si>
    <t>5/27/21 - 6/9/21</t>
  </si>
  <si>
    <t>6/10/21 - 6/23/21</t>
  </si>
  <si>
    <t>6/24/21 - 7/7/21</t>
  </si>
  <si>
    <t>7/8/21 - 7/21/21</t>
  </si>
  <si>
    <t>7/22/21 - 8/4/21</t>
  </si>
  <si>
    <t>8/5/21 - 8/18/21</t>
  </si>
  <si>
    <t>5/13/21 - 5/27/21</t>
  </si>
  <si>
    <t>5/28/21 - 6/11/21</t>
  </si>
  <si>
    <t>6/12/21 - 6/26/21</t>
  </si>
  <si>
    <t>6/27/21 - 7/11/21</t>
  </si>
  <si>
    <t>7/12/21 - 7/26/21</t>
  </si>
  <si>
    <t>7/27/21 - 8/10/21</t>
  </si>
  <si>
    <t>8/11/21 - 8/25/21</t>
  </si>
  <si>
    <t>8/19/21 - 9/1/21</t>
  </si>
  <si>
    <t>9/2/21 - 9/15/21</t>
  </si>
  <si>
    <t>9/16/21 - 9/29/21</t>
  </si>
  <si>
    <t>9/30-10/13/21(1 day)</t>
  </si>
  <si>
    <t>8/26/21 - 9/9/21</t>
  </si>
  <si>
    <t>9/10/21 - 9/24/21</t>
  </si>
  <si>
    <t>9/25-10/9/21 (5 days)</t>
  </si>
  <si>
    <t>Disinfectant wipes</t>
  </si>
  <si>
    <t>(3) 75 count packs of 3</t>
  </si>
  <si>
    <t>tapemeausre,screwdriver,marking paint&amp;chalk</t>
  </si>
  <si>
    <t>Pacheco/Cleaver</t>
  </si>
  <si>
    <t>Social distancing marking supplies for Youth Baseball Program</t>
  </si>
  <si>
    <t>Bankers Gas &amp; Welding</t>
  </si>
  <si>
    <t>Interior Maintenance Specialists Inc</t>
  </si>
  <si>
    <t>Disinfectant misting at station 1 (3900 Miller Rd)</t>
  </si>
  <si>
    <t>Date: 8/3/20</t>
  </si>
  <si>
    <t>Date: 8/5/20</t>
  </si>
  <si>
    <t>Face shield replacement visors</t>
  </si>
  <si>
    <t xml:space="preserve">Uvex uncoated polycarbonate </t>
  </si>
  <si>
    <t>Rcls to Non-Dept Org (period 13)</t>
  </si>
  <si>
    <t>JE 248</t>
  </si>
  <si>
    <t>F</t>
  </si>
  <si>
    <t>Rclsd FY20 back to GF Non-Dept org period 13, 2020</t>
  </si>
  <si>
    <t>First Christian Church</t>
  </si>
  <si>
    <t>Life Message Inc</t>
  </si>
  <si>
    <t>Per Council Res-150-20,  12/1/20</t>
  </si>
  <si>
    <t>Helping Hand Food Pantry COVID enhancement project</t>
  </si>
  <si>
    <t>Life Message food pantry assistance</t>
  </si>
  <si>
    <t>Sneeze guards for City Council dais,tables,lecturn</t>
  </si>
  <si>
    <t>Solar Technology Inc</t>
  </si>
  <si>
    <t>Message Boards and Equipment</t>
  </si>
  <si>
    <t>Council RES-153-20</t>
  </si>
  <si>
    <t>Silent Messenger II-SS IRT dynamic message boards</t>
  </si>
  <si>
    <t>Extreme Canopy</t>
  </si>
  <si>
    <t>Drive thru canopy tents</t>
  </si>
  <si>
    <t>13'x26' drive thru tents &amp; accessories</t>
  </si>
  <si>
    <t>(5)cases of 4   1 gal hand sanitizer</t>
  </si>
  <si>
    <t>Sneeze guards for admin work areas</t>
  </si>
  <si>
    <t>4 pieces</t>
  </si>
  <si>
    <t>Disinfectant for handheld electrostatic sprayer</t>
  </si>
  <si>
    <t>(1) case of 4  1gal Vital Oxidide</t>
  </si>
  <si>
    <t>Electrostatic handheld sprayer</t>
  </si>
  <si>
    <t>Professional  Cordless VP200ESK</t>
  </si>
  <si>
    <t>United Laboratories</t>
  </si>
  <si>
    <t>100bxs</t>
  </si>
  <si>
    <t>(50)100ct LG, (50)100ct XL</t>
  </si>
  <si>
    <t>Support supplies for sneeze guards</t>
  </si>
  <si>
    <t>for council chambers</t>
  </si>
  <si>
    <t>Sneeze guards for desks</t>
  </si>
  <si>
    <t>for RCC</t>
  </si>
  <si>
    <t>Hardware for sneeze guards</t>
  </si>
  <si>
    <t>Window markers</t>
  </si>
  <si>
    <t>to identify checked-in vehicles for vaccinations</t>
  </si>
  <si>
    <t>Uline</t>
  </si>
  <si>
    <t>Hand pumps for aeroclave solution;safety glasses</t>
  </si>
  <si>
    <t>(2)plastic drum pumps;(300) glasses</t>
  </si>
  <si>
    <t>Admin Fees for Robust Grant</t>
  </si>
  <si>
    <t>Per Council RES-107-20; 9/1/20</t>
  </si>
  <si>
    <t>Tschoerner/Tschoerner</t>
  </si>
  <si>
    <t>1 gal</t>
  </si>
  <si>
    <t>(1) 128 fl oz gal refill hand sanitizer</t>
  </si>
  <si>
    <t>(1) infrared thermometer</t>
  </si>
  <si>
    <t>Demco</t>
  </si>
  <si>
    <t>Infrared thermometer</t>
  </si>
  <si>
    <t>Face masks (child size)</t>
  </si>
  <si>
    <t>(1) 100 pack Kids 3-ply disposable</t>
  </si>
  <si>
    <t>Tent canopies &amp; supplies for mega vaccine site</t>
  </si>
  <si>
    <t>Coupler locks and padlocks for message boards</t>
  </si>
  <si>
    <t>for use at Garland Health's mega site</t>
  </si>
  <si>
    <t>(3) coupler lock kits; (21) padlocks for use at Garland Health's mega site</t>
  </si>
  <si>
    <t>10/23/2020 &amp; 1/15/21</t>
  </si>
  <si>
    <t>Safetyvests,powercords,fire exting,other supplies</t>
  </si>
  <si>
    <t>supplies for drive-thru vaccine mgmt</t>
  </si>
  <si>
    <t>VACCINE - Vaccine Distribution   GL COST SUMMARY  (4129875)</t>
  </si>
  <si>
    <t>4129875-XXXX</t>
  </si>
  <si>
    <t>Kellerhuis/Enna</t>
  </si>
  <si>
    <r>
      <t xml:space="preserve">Payroll - </t>
    </r>
    <r>
      <rPr>
        <b/>
        <sz val="11"/>
        <color rgb="FFFF0000"/>
        <rFont val="Calibri"/>
        <family val="2"/>
        <scheme val="minor"/>
      </rPr>
      <t>VACCINE - COVID Vaccine Distribution</t>
    </r>
  </si>
  <si>
    <t>4129875</t>
  </si>
  <si>
    <t>Pay Period  FY2021</t>
  </si>
  <si>
    <t>4129875-6246</t>
  </si>
  <si>
    <t>Admin supplies for vaccine distribution program</t>
  </si>
  <si>
    <t>folders,pens,paper,tape,staplers,etc</t>
  </si>
  <si>
    <t>VACCINE</t>
  </si>
  <si>
    <t>4129872-6205</t>
  </si>
  <si>
    <t>Galls LLC</t>
  </si>
  <si>
    <t>Uniform items for H.Myers (Emerg.Mgmt)</t>
  </si>
  <si>
    <t>(2)L/S BDU shirt, (3)S/S BDU shirt</t>
  </si>
  <si>
    <t>(1)belt buckle, (1)zip job shirt</t>
  </si>
  <si>
    <t>Ofc supplies for vaccine distribution @ HBJ</t>
  </si>
  <si>
    <t>(1) MFC-L2710D laser printer</t>
  </si>
  <si>
    <t>(1) HP AIO Office Jet printer</t>
  </si>
  <si>
    <t>(1)black ink,(1)toner,(1)multi-ink</t>
  </si>
  <si>
    <t>4129876-6250</t>
  </si>
  <si>
    <t>Randal Dean Spencer</t>
  </si>
  <si>
    <t>Emerg. temporary generator connection @ Fire Station #2</t>
  </si>
  <si>
    <t>to operate radio,call equip,bay doors</t>
  </si>
  <si>
    <t>protection of fire vehicle equip</t>
  </si>
  <si>
    <t>Connect 2 bay heaters to emerg temporary generator FS#2</t>
  </si>
  <si>
    <t>Connect 4 bay heaters to emerg temporary generator FS#1</t>
  </si>
  <si>
    <t>Connect 4 bay heaters to emerg temporary generator FS#3</t>
  </si>
  <si>
    <t>Connect 4 bay heaters to emerg temporary generator FS#4</t>
  </si>
  <si>
    <t>Emerg. Service call to assess primary generator FS#2</t>
  </si>
  <si>
    <t>Primary generator would not start</t>
  </si>
  <si>
    <t>Disconnect/Cap 4 electrical connection to cubicles-Annex</t>
  </si>
  <si>
    <t>to complete water damage repairs</t>
  </si>
  <si>
    <t>4129876-6280</t>
  </si>
  <si>
    <t>NetSync Network Solutions</t>
  </si>
  <si>
    <t>Replace 2 IT switches in DSB server room</t>
  </si>
  <si>
    <t>damaged by pipe burst</t>
  </si>
  <si>
    <t>Smith/Brock</t>
  </si>
  <si>
    <t>Repair busted fire supression system pipes @ 5 facilities</t>
  </si>
  <si>
    <t>American Fire Protection Group, Inc</t>
  </si>
  <si>
    <t>Annex,FS#1, FS#4, RCC, PD/Court</t>
  </si>
  <si>
    <t>4129876-6300</t>
  </si>
  <si>
    <t>4129876-6350</t>
  </si>
  <si>
    <t>Rocklett Restoration</t>
  </si>
  <si>
    <t>Gomez Floor</t>
  </si>
  <si>
    <t>Carpet removal</t>
  </si>
  <si>
    <t>Extract water &amp; remove damaged drywall - DSB</t>
  </si>
  <si>
    <r>
      <t xml:space="preserve">Payroll - </t>
    </r>
    <r>
      <rPr>
        <b/>
        <sz val="11"/>
        <color rgb="FFFF0000"/>
        <rFont val="Calibri"/>
        <family val="2"/>
        <scheme val="minor"/>
      </rPr>
      <t>STORM21 - WINTER STORM 2021</t>
    </r>
  </si>
  <si>
    <t>STORM21 - WINTER STORM 2021 - GL COST SUMMARY  (4129876)</t>
  </si>
  <si>
    <t>Zorro Tools Inc</t>
  </si>
  <si>
    <t>Mitel license upgrade for teleworking</t>
  </si>
  <si>
    <t>Co-Nexus Communications</t>
  </si>
  <si>
    <t>UCC entry level license upgrade</t>
  </si>
  <si>
    <t>4129876-6249</t>
  </si>
  <si>
    <t>Schrade Plumbing Inc</t>
  </si>
  <si>
    <t>Repair 3 water line breaks under bldg (2) 1/2", (1) 3/4"</t>
  </si>
  <si>
    <t>Chamber building</t>
  </si>
  <si>
    <t>CoreFit building</t>
  </si>
  <si>
    <t>Cut &amp; recap 1/2" water line due to freeze damage</t>
  </si>
  <si>
    <t>Service call to assess water leak - fire system line break</t>
  </si>
  <si>
    <t>Fire Station #1</t>
  </si>
  <si>
    <t>Fire Station #3</t>
  </si>
  <si>
    <t>Repair 1/2" water line break behind refrigs in access panel</t>
  </si>
  <si>
    <t>Repair 1/2" water line breaks in restroom &amp; bay sink area</t>
  </si>
  <si>
    <t>Repair 1/2" water line break- crime lab sink to above ceiling</t>
  </si>
  <si>
    <t>Cap off 1/2" water line break in office closet</t>
  </si>
  <si>
    <t>Fire Admin building</t>
  </si>
  <si>
    <t>PD/Court building</t>
  </si>
  <si>
    <t>WINTER STORM 2021</t>
  </si>
  <si>
    <t>(3)sm for ea.vaccine POD tent,(1)lg rolling tote for large tent equip</t>
  </si>
  <si>
    <t>Rolling carts for vaccine POD tents &amp; Tote</t>
  </si>
  <si>
    <t>Window markers, rechargable hand warmers</t>
  </si>
  <si>
    <t>(10)white markers;(4)hand warmers</t>
  </si>
  <si>
    <t>4129876-6246</t>
  </si>
  <si>
    <t>Ed Balderas</t>
  </si>
  <si>
    <t>Supplies &amp; food for warming center</t>
  </si>
  <si>
    <t>240780/241054/241407</t>
  </si>
  <si>
    <t>Sneeze guards for library</t>
  </si>
  <si>
    <t>for customer computer desks</t>
  </si>
  <si>
    <t>DSB - water damage restoration</t>
  </si>
  <si>
    <t>Speed Fab-Crete Corp</t>
  </si>
  <si>
    <t>DSB - water damage repairs</t>
  </si>
  <si>
    <t>Fire sys,drywall/ceiling/insul,electrical,hvac,floor,paint,clean up</t>
  </si>
  <si>
    <t>Annex - water damage repairs</t>
  </si>
  <si>
    <t>(3)70ct canisters,(1)4pk 800wipes/roll</t>
  </si>
  <si>
    <t>24 packages</t>
  </si>
  <si>
    <t>cancelled</t>
  </si>
  <si>
    <t>DBM Services</t>
  </si>
  <si>
    <t>Drywall/ceiling/paint</t>
  </si>
  <si>
    <t>Annex,Fire Adm,Lib,Fire#1 - water damage repairs</t>
  </si>
  <si>
    <t>Schrade Plumbing</t>
  </si>
  <si>
    <t>Repair ruptured water lines @ Wet Zone</t>
  </si>
  <si>
    <t>breaks in 15 toilet/urinal lines &amp; sinks</t>
  </si>
  <si>
    <t>4129876-6210</t>
  </si>
  <si>
    <t>20 Box Combos</t>
  </si>
  <si>
    <t>Raising Cane's</t>
  </si>
  <si>
    <t>Gibbs/Godfrey</t>
  </si>
  <si>
    <t>Wendy's</t>
  </si>
  <si>
    <t>20 various meals</t>
  </si>
  <si>
    <t>20 sandwich box meals</t>
  </si>
  <si>
    <t>Jason's Deli</t>
  </si>
  <si>
    <t>family style servings</t>
  </si>
  <si>
    <t>Cruzito's</t>
  </si>
  <si>
    <t>Cantu/Godfrey</t>
  </si>
  <si>
    <t>Ceaser/Godfrey</t>
  </si>
  <si>
    <t>Food for Police first responders during power outages</t>
  </si>
  <si>
    <t>Snacks/drinks for dispatch during power outages</t>
  </si>
  <si>
    <t>various bulk snacks/drinks</t>
  </si>
  <si>
    <t>sandwich box meals</t>
  </si>
  <si>
    <t>Ice Melt for multiple city facilities &amp; warming center</t>
  </si>
  <si>
    <t>Lowe's</t>
  </si>
  <si>
    <t>Ferguson/Cleaver</t>
  </si>
  <si>
    <t>4129876-6353</t>
  </si>
  <si>
    <t>(112) 40lb bags</t>
  </si>
  <si>
    <t>(28) 50lb bags</t>
  </si>
  <si>
    <t>Envirotech</t>
  </si>
  <si>
    <t>Lawn &amp; Landscape Management</t>
  </si>
  <si>
    <t>Remove/replace gutter downspout due to ice damage</t>
  </si>
  <si>
    <t>City Hall building (SE corner)</t>
  </si>
  <si>
    <t>Dollar Tree</t>
  </si>
  <si>
    <t>Bottled water for city's water drive &amp; fill station</t>
  </si>
  <si>
    <t>154 bottles of water</t>
  </si>
  <si>
    <t>Poly Sheeting to cover pipes/plumbing at 4 stations</t>
  </si>
  <si>
    <t>(5) 10x100 clear  (4) 10x100 black</t>
  </si>
  <si>
    <t>Baskett/Howard</t>
  </si>
  <si>
    <t>(2)comb locks,(2)steel cable,(3)extension cords</t>
  </si>
  <si>
    <t>Locks &amp; power supplies for warming station &amp; generator</t>
  </si>
  <si>
    <t>239895/240913/241571</t>
  </si>
  <si>
    <t>Wifi refrig and freezer data logger kit</t>
  </si>
  <si>
    <t>2 kits w/probes for monitoring temp</t>
  </si>
  <si>
    <t>CAS DataLoggers</t>
  </si>
  <si>
    <t>Onset Computer Corporation</t>
  </si>
  <si>
    <t>Vaccine temperature monitoring system</t>
  </si>
  <si>
    <t>(2)CX402-VFC215 data loggers,(1)CX5000 gateway</t>
  </si>
  <si>
    <t>(2) 53Q temp controlled</t>
  </si>
  <si>
    <t>Various LED lights, extension cords &amp; surge protectors</t>
  </si>
  <si>
    <t>(5)exten cords,(4)surge protec,(5)lights</t>
  </si>
  <si>
    <t>Air mattresses, cots &amp; blankets - &amp; air pumps</t>
  </si>
  <si>
    <t>(13)blankets,(10)air mattrss,(4)cots,(2)pumps</t>
  </si>
  <si>
    <t>Sunbelt Pools Inc</t>
  </si>
  <si>
    <t>Replace/replumb broken pipes, replace damaged chemical controllers</t>
  </si>
  <si>
    <t>Wet Zone freeze damage</t>
  </si>
  <si>
    <t>Portable vaccine refrigerator and freezer</t>
  </si>
  <si>
    <t>Clean carpet/apply antimicrobial protectant</t>
  </si>
  <si>
    <t>Library water damage</t>
  </si>
  <si>
    <t>Zerorez</t>
  </si>
  <si>
    <t>Clean fabric cube panels/apply antimicrobial protectant</t>
  </si>
  <si>
    <t>Annex water damage</t>
  </si>
  <si>
    <t>Day/Cleaver</t>
  </si>
  <si>
    <t>Box Fans</t>
  </si>
  <si>
    <t>(5) 20" white 3-speed to dry wet floors due to water line breaks</t>
  </si>
  <si>
    <t>Water filter, nozzle &amp; hose</t>
  </si>
  <si>
    <t xml:space="preserve">1 of each - to distribute water to citizens </t>
  </si>
  <si>
    <t>Badgett/Lopez</t>
  </si>
  <si>
    <t>4129876-6200</t>
  </si>
  <si>
    <t>Finance</t>
  </si>
  <si>
    <t>storage boxes &amp; packaging tape (pack up due to water pipe burst)</t>
  </si>
  <si>
    <t>(15)boxes,(2)packaging tape</t>
  </si>
  <si>
    <t>Discconnect 4 bay heaters from emer temp generator FS#3</t>
  </si>
  <si>
    <t>Discconnect 4 bay heaters from emer temp generator FS#2</t>
  </si>
  <si>
    <t>Discconnect 4 bay heaters from emer temp generator FS#1</t>
  </si>
  <si>
    <t>Discconnect 4 bay heaters from emer temp generator FS#4</t>
  </si>
  <si>
    <t>Relocate power for heat to fire sprinkler riser room FS#4</t>
  </si>
  <si>
    <t>Tarps to protect library materials from water damage</t>
  </si>
  <si>
    <t>(2)20x30 (5)16x20</t>
  </si>
  <si>
    <t>Brock/Brock</t>
  </si>
  <si>
    <t>storage boxes &amp; supplies (pack up due to water pipe burst)</t>
  </si>
  <si>
    <t>(1)2pk tape,(1)ext cord,(10)boxes</t>
  </si>
  <si>
    <t>Facilitech Inc/Business Interiors</t>
  </si>
  <si>
    <t>Restore Econ Dev furniture</t>
  </si>
  <si>
    <t>3.5cu ft upright vaccine freezer, white</t>
  </si>
  <si>
    <t>Portable vaccine freezer</t>
  </si>
  <si>
    <t>Bowl-A-Rama</t>
  </si>
  <si>
    <t>Temporary shelter cost reimbursement 2/16 &amp; 2/17</t>
  </si>
  <si>
    <t>7staff,1mileage,2days elec/gas/water, Acctg fees, Mis supplies</t>
  </si>
  <si>
    <t xml:space="preserve">Community Park </t>
  </si>
  <si>
    <t>Repair multiple freeze leaks-2 consess.stands &amp; restroom</t>
  </si>
  <si>
    <t>Brick repair on restroom walls due to freeze leak repair</t>
  </si>
  <si>
    <t>Shorewood Park</t>
  </si>
  <si>
    <t>Replace 2 restroom busted hot water heaters due to freeze</t>
  </si>
  <si>
    <t>Herfurth Park</t>
  </si>
  <si>
    <t>Repair multiple freeze leaks,replace toilet</t>
  </si>
  <si>
    <t>McKesson Medical-Surgical Inc</t>
  </si>
  <si>
    <t>Sofia 2 testing machine &amp; kits COVID-19 response</t>
  </si>
  <si>
    <t>Pannell Industries</t>
  </si>
  <si>
    <t>Re-sweep streets after snow</t>
  </si>
  <si>
    <t>14 various areas</t>
  </si>
  <si>
    <t>3/31/21 JE#883</t>
  </si>
  <si>
    <t>FS#2</t>
  </si>
  <si>
    <t>City Hall Annex</t>
  </si>
  <si>
    <t>Community Park</t>
  </si>
  <si>
    <t>Police Station</t>
  </si>
  <si>
    <t>Core Fit</t>
  </si>
  <si>
    <t>RCC</t>
  </si>
  <si>
    <t>FS#3</t>
  </si>
  <si>
    <t>Chamber Bldg</t>
  </si>
  <si>
    <t>TML Reimbursement</t>
  </si>
  <si>
    <t>Wet Zone</t>
  </si>
  <si>
    <t>FS#4</t>
  </si>
  <si>
    <t>FS#1</t>
  </si>
  <si>
    <t>Fire Admin</t>
  </si>
  <si>
    <t>DSB</t>
  </si>
  <si>
    <t>DSB contents</t>
  </si>
  <si>
    <t>Library contents</t>
  </si>
  <si>
    <t>AeroClave LLC</t>
  </si>
  <si>
    <t>Aeroclave replacement parts</t>
  </si>
  <si>
    <t>RDS3110/T male #64228 "L" Connector</t>
  </si>
  <si>
    <t>4129876-6201</t>
  </si>
  <si>
    <t>Monroe/Cleaver</t>
  </si>
  <si>
    <t>Replacement desk due to water damage warping</t>
  </si>
  <si>
    <t>RCC - Adam Acoba's office</t>
  </si>
  <si>
    <t>LABRepCo</t>
  </si>
  <si>
    <t>Undercounter refrigerator for J&amp;J vaccines</t>
  </si>
  <si>
    <t>4.6 cu ft, Futura Silver Series</t>
  </si>
  <si>
    <t>4129876-xxxx</t>
  </si>
  <si>
    <t>4129876-6523</t>
  </si>
  <si>
    <t>4129876-6522</t>
  </si>
  <si>
    <t>Reprogram phone lines due to ice storm</t>
  </si>
  <si>
    <t>route CS/Action Center to cell phones</t>
  </si>
  <si>
    <t>? / Brock</t>
  </si>
  <si>
    <t>(12) 24"Hx54"W signs</t>
  </si>
  <si>
    <t>Vaccination informational signs</t>
  </si>
  <si>
    <t>FastSigns</t>
  </si>
  <si>
    <t>Acoba/Cleaver</t>
  </si>
  <si>
    <t>matte laminate-double sided</t>
  </si>
  <si>
    <t>Quarantine guidance flyers (Garland Heal orders)</t>
  </si>
  <si>
    <t>Ferguson/Enna</t>
  </si>
  <si>
    <t>ROBUST Round 4</t>
  </si>
  <si>
    <t>DallasCo CRF ROBUST Round 4</t>
  </si>
  <si>
    <t>Council RES-052-21</t>
  </si>
  <si>
    <t>4129876-6245</t>
  </si>
  <si>
    <t>4/30/21 JE# 867</t>
  </si>
  <si>
    <t>Hole in the Roof</t>
  </si>
  <si>
    <t>Ice melt</t>
  </si>
  <si>
    <t>(20) 50lb bags</t>
  </si>
  <si>
    <t>Disconnect/Reconnect power to desk stations - Annex</t>
  </si>
  <si>
    <t>Replace damaged GFI unit in Captain's restroom FS#1</t>
  </si>
  <si>
    <t>K. Tillman Construction LLC</t>
  </si>
  <si>
    <t>Repair tile from Shrade Plumbing line repairs @ Wet Zone</t>
  </si>
  <si>
    <t>repair tile around toilet/urinal lines &amp; sinks</t>
  </si>
  <si>
    <t>Gomez Floor Covering</t>
  </si>
  <si>
    <t>FS#1 - water damage repairs</t>
  </si>
  <si>
    <t>Replace carpet in Captain's ofc,study,storeroom &amp; EMT ofc</t>
  </si>
  <si>
    <t>Repair celing grid,broken ceiling tiles, paint walls @ RCC</t>
  </si>
  <si>
    <t>RCC - water damage repairs</t>
  </si>
  <si>
    <t>4129872-6525</t>
  </si>
  <si>
    <t>Li/Brock</t>
  </si>
  <si>
    <t>(3)packing tape,(30)16x12x12 boxes</t>
  </si>
  <si>
    <t>Razi Sinage / FastSigns</t>
  </si>
  <si>
    <t>EEC Enviro Service Co LLC</t>
  </si>
  <si>
    <t>Fire Admin frozen pipe damage</t>
  </si>
  <si>
    <t>4129876-6248</t>
  </si>
  <si>
    <t>Professional Drywall and Painting</t>
  </si>
  <si>
    <t>FS#4 - freeze/water damage repairs</t>
  </si>
  <si>
    <t>Ceiling drywall repair in apparatus bay &amp; kitchen FS#4</t>
  </si>
  <si>
    <t>Remove black residue off floors from fire sprinkler burst</t>
  </si>
  <si>
    <t>Annex bldg water damage repairs</t>
  </si>
  <si>
    <t>4129876-6220</t>
  </si>
  <si>
    <t>Replaced lamp&amp;ballast,replaced shorted wiring @WetZone ticket office</t>
  </si>
  <si>
    <t>Repair condensate &amp; front office drain line leaks</t>
  </si>
  <si>
    <t>Repair condensate leaks above KRB ofc @ Fire Admin</t>
  </si>
  <si>
    <t>Repair condensate leaks in attic @ Fire Admin</t>
  </si>
  <si>
    <t>Fire Admin Ofc</t>
  </si>
  <si>
    <t>Cutout &amp; replace drywall in ceiling due to water damage</t>
  </si>
  <si>
    <t>Envisonware Inc</t>
  </si>
  <si>
    <t>Ceiling drywall repair in apparatus bay &amp; kitchen FireAdm</t>
  </si>
  <si>
    <t>FireAdm - freeze/water damage repairs</t>
  </si>
  <si>
    <t>Galls, LLC</t>
  </si>
  <si>
    <t>Software to remote assist library patrons</t>
  </si>
  <si>
    <t>Repair condensate leaks in KRB ofc ceiling @ Fire Admin</t>
  </si>
  <si>
    <t>SCBA bags for AV3000 face mask storage</t>
  </si>
  <si>
    <t>Professional Drywall &amp; Painting/Ricky Fincher</t>
  </si>
  <si>
    <t>R-12100548</t>
  </si>
  <si>
    <t>GTS Technology Solutions Inc</t>
  </si>
  <si>
    <t>Bui/Brock</t>
  </si>
  <si>
    <t>Positions that need remote access</t>
  </si>
  <si>
    <t>Afteraction - Laptops/docks to replace desktops</t>
  </si>
  <si>
    <t>240770/242491</t>
  </si>
  <si>
    <t>Refund of PY Catholic Charities Contribution</t>
  </si>
  <si>
    <t>PY Council RES-114-20, 9/15/20</t>
  </si>
  <si>
    <t>Repair holes made in masonry to reach broken pipes</t>
  </si>
  <si>
    <t>Hand sanitizer dispensing station for City Hall</t>
  </si>
  <si>
    <t>Luxton dispenser w stand,refillable</t>
  </si>
  <si>
    <t>SLD-WORLD touchless dispsr w stand</t>
  </si>
  <si>
    <t>COVID-19 analyzers for employee test kits</t>
  </si>
  <si>
    <t>to be checked out to improve citizen wi-fi access</t>
  </si>
  <si>
    <t>T-Mobile</t>
  </si>
  <si>
    <t>Tschoerner/Smith</t>
  </si>
  <si>
    <t>Mobile hotspots for library patrons+2 mo svc</t>
  </si>
  <si>
    <t>4129872-6606</t>
  </si>
  <si>
    <t>RCOAD future emergency assistance funding</t>
  </si>
  <si>
    <t>Council RES-083-21</t>
  </si>
  <si>
    <t>up front funding for future disasters</t>
  </si>
  <si>
    <t>Hard carrying cases for hotspots/charging cables</t>
  </si>
  <si>
    <t>for citizen checkouts</t>
  </si>
  <si>
    <t>COVID-19 tests for exposed firefighters</t>
  </si>
  <si>
    <t>Questcare Medical Clinics</t>
  </si>
  <si>
    <t xml:space="preserve"> / Howard</t>
  </si>
  <si>
    <t>JE</t>
  </si>
  <si>
    <t>Encumbrance rolled to FY22</t>
  </si>
  <si>
    <t>RECLASSED TO 4129872-6280</t>
  </si>
  <si>
    <t>RCLSD FROM 6200</t>
  </si>
  <si>
    <t>Brock</t>
  </si>
  <si>
    <t>RCLS Refund of PY Catholic Charities Contribution</t>
  </si>
  <si>
    <t>FISCAL YEAR 2022</t>
  </si>
  <si>
    <t>4129875-6245</t>
  </si>
  <si>
    <t>4129876</t>
  </si>
  <si>
    <r>
      <t xml:space="preserve">Payroll - </t>
    </r>
    <r>
      <rPr>
        <b/>
        <sz val="11"/>
        <color rgb="FFFF0000"/>
        <rFont val="Calibri"/>
        <family val="2"/>
        <scheme val="minor"/>
      </rPr>
      <t>ARPA21 - ARPA</t>
    </r>
  </si>
  <si>
    <t>4129877</t>
  </si>
  <si>
    <t>Pay Period  FY2022</t>
  </si>
  <si>
    <t>10/20</t>
  </si>
  <si>
    <t>ARPA21 - ARPA FUNDS - GL COST SUMMARY  (4129877)</t>
  </si>
  <si>
    <t>4129877-6200</t>
  </si>
  <si>
    <t>4129877-6245</t>
  </si>
  <si>
    <t>4129877-6246</t>
  </si>
  <si>
    <t>4129877-6602</t>
  </si>
  <si>
    <t>Employee COVID Vaccine Incentive - BiWeekly</t>
  </si>
  <si>
    <t>Employee COVID Vaccine Incentive - Fire</t>
  </si>
  <si>
    <t>4129877-6105</t>
  </si>
  <si>
    <t>PlusVaccine Incentive "benefits" reported in PurchasingARPA22</t>
  </si>
  <si>
    <t>Employee COVID Vaccine Incentive - Fire Benefits</t>
  </si>
  <si>
    <t>Employee COVID Vaccine Incentive - BiWeekly Benefits</t>
  </si>
  <si>
    <t>TMRS &amp; FICA</t>
  </si>
  <si>
    <t>NET</t>
  </si>
  <si>
    <t>11/03 - includes Longevity</t>
  </si>
  <si>
    <t>TMRS &amp; FICA &amp; PARS</t>
  </si>
  <si>
    <t>Less Incentive TMRS/FICA/PARS in Payroll GL codes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</si>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</sst>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9"/>
      <color indexed="81"/>
      <name val="Tahoma"/>
      <family val="2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</cellStyleXfs>
  <cellXfs count="20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1" xfId="0" applyFont="1" applyBorder="1" applyAlignment="1">
      <alignment horizontal="left"/>
    </xf>
    <xf numFmtId="43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/>
    <xf numFmtId="43" fontId="0" fillId="0" borderId="3" xfId="1" applyFont="1" applyBorder="1"/>
    <xf numFmtId="14" fontId="0" fillId="0" borderId="1" xfId="0" applyNumberFormat="1" applyBorder="1" applyAlignment="1">
      <alignment horizontal="center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43" fontId="0" fillId="0" borderId="4" xfId="0" applyNumberFormat="1" applyBorder="1"/>
    <xf numFmtId="43" fontId="4" fillId="0" borderId="0" xfId="1" applyFont="1"/>
    <xf numFmtId="164" fontId="0" fillId="0" borderId="1" xfId="1" applyNumberFormat="1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2" fontId="0" fillId="2" borderId="0" xfId="0" applyNumberFormat="1" applyFill="1"/>
    <xf numFmtId="2" fontId="0" fillId="0" borderId="0" xfId="0" applyNumberFormat="1"/>
    <xf numFmtId="0" fontId="0" fillId="3" borderId="0" xfId="0" applyFill="1"/>
    <xf numFmtId="0" fontId="2" fillId="3" borderId="0" xfId="0" applyFont="1" applyFill="1" applyAlignment="1">
      <alignment horizontal="right"/>
    </xf>
    <xf numFmtId="43" fontId="0" fillId="3" borderId="0" xfId="0" applyNumberFormat="1" applyFill="1"/>
    <xf numFmtId="0" fontId="6" fillId="4" borderId="0" xfId="0" applyFont="1" applyFill="1" applyAlignment="1">
      <alignment horizontal="center"/>
    </xf>
    <xf numFmtId="9" fontId="6" fillId="4" borderId="2" xfId="0" applyNumberFormat="1" applyFont="1" applyFill="1" applyBorder="1" applyAlignment="1">
      <alignment horizontal="center"/>
    </xf>
    <xf numFmtId="43" fontId="0" fillId="4" borderId="0" xfId="0" applyNumberFormat="1" applyFill="1"/>
    <xf numFmtId="0" fontId="0" fillId="4" borderId="0" xfId="0" applyFill="1"/>
    <xf numFmtId="0" fontId="6" fillId="5" borderId="0" xfId="0" applyFont="1" applyFill="1"/>
    <xf numFmtId="9" fontId="6" fillId="5" borderId="2" xfId="0" applyNumberFormat="1" applyFont="1" applyFill="1" applyBorder="1" applyAlignment="1">
      <alignment horizontal="center"/>
    </xf>
    <xf numFmtId="43" fontId="0" fillId="5" borderId="0" xfId="0" applyNumberFormat="1" applyFill="1"/>
    <xf numFmtId="0" fontId="0" fillId="5" borderId="0" xfId="0" applyFill="1"/>
    <xf numFmtId="43" fontId="0" fillId="4" borderId="4" xfId="0" applyNumberFormat="1" applyFill="1" applyBorder="1"/>
    <xf numFmtId="43" fontId="0" fillId="5" borderId="4" xfId="0" applyNumberFormat="1" applyFill="1" applyBorder="1"/>
    <xf numFmtId="0" fontId="5" fillId="6" borderId="0" xfId="0" applyFont="1" applyFill="1" applyAlignment="1">
      <alignment horizontal="center" wrapText="1"/>
    </xf>
    <xf numFmtId="164" fontId="0" fillId="0" borderId="1" xfId="1" applyNumberFormat="1" applyFont="1" applyBorder="1" applyAlignment="1"/>
    <xf numFmtId="43" fontId="0" fillId="0" borderId="1" xfId="1" applyFont="1" applyFill="1" applyBorder="1"/>
    <xf numFmtId="16" fontId="0" fillId="0" borderId="0" xfId="0" applyNumberFormat="1"/>
    <xf numFmtId="43" fontId="0" fillId="7" borderId="1" xfId="1" applyFont="1" applyFill="1" applyBorder="1"/>
    <xf numFmtId="0" fontId="0" fillId="0" borderId="0" xfId="0" applyAlignment="1">
      <alignment horizontal="right"/>
    </xf>
    <xf numFmtId="164" fontId="0" fillId="0" borderId="1" xfId="1" applyNumberFormat="1" applyFont="1" applyFill="1" applyBorder="1" applyAlignment="1"/>
    <xf numFmtId="43" fontId="2" fillId="0" borderId="1" xfId="1" applyFont="1" applyFill="1" applyBorder="1" applyAlignment="1">
      <alignment horizontal="center" wrapText="1"/>
    </xf>
    <xf numFmtId="16" fontId="0" fillId="0" borderId="0" xfId="0" quotePrefix="1" applyNumberFormat="1"/>
    <xf numFmtId="43" fontId="0" fillId="0" borderId="5" xfId="1" applyFont="1" applyBorder="1"/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43" fontId="4" fillId="8" borderId="0" xfId="1" applyFont="1" applyFill="1"/>
    <xf numFmtId="0" fontId="9" fillId="7" borderId="0" xfId="0" applyFont="1" applyFill="1" applyAlignment="1">
      <alignment horizontal="left"/>
    </xf>
    <xf numFmtId="0" fontId="0" fillId="9" borderId="0" xfId="0" applyFill="1"/>
    <xf numFmtId="0" fontId="4" fillId="0" borderId="0" xfId="0" applyFont="1"/>
    <xf numFmtId="44" fontId="0" fillId="0" borderId="0" xfId="0" applyNumberFormat="1"/>
    <xf numFmtId="44" fontId="2" fillId="0" borderId="0" xfId="0" applyNumberFormat="1" applyFont="1"/>
    <xf numFmtId="14" fontId="0" fillId="0" borderId="0" xfId="0" applyNumberFormat="1"/>
    <xf numFmtId="0" fontId="0" fillId="0" borderId="0" xfId="0" applyAlignment="1">
      <alignment vertical="center"/>
    </xf>
    <xf numFmtId="0" fontId="12" fillId="0" borderId="0" xfId="0" applyFont="1"/>
    <xf numFmtId="44" fontId="0" fillId="0" borderId="4" xfId="0" applyNumberFormat="1" applyBorder="1"/>
    <xf numFmtId="44" fontId="0" fillId="7" borderId="4" xfId="0" applyNumberFormat="1" applyFill="1" applyBorder="1"/>
    <xf numFmtId="0" fontId="0" fillId="0" borderId="6" xfId="0" applyBorder="1"/>
    <xf numFmtId="43" fontId="0" fillId="0" borderId="7" xfId="1" applyFont="1" applyBorder="1"/>
    <xf numFmtId="0" fontId="0" fillId="0" borderId="7" xfId="0" applyBorder="1"/>
    <xf numFmtId="0" fontId="0" fillId="0" borderId="9" xfId="0" applyBorder="1"/>
    <xf numFmtId="43" fontId="4" fillId="0" borderId="10" xfId="1" applyFont="1" applyBorder="1"/>
    <xf numFmtId="0" fontId="0" fillId="0" borderId="10" xfId="0" applyBorder="1"/>
    <xf numFmtId="43" fontId="4" fillId="0" borderId="11" xfId="0" applyNumberFormat="1" applyFont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6" borderId="0" xfId="0" applyFill="1"/>
    <xf numFmtId="0" fontId="5" fillId="0" borderId="16" xfId="0" applyFont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/>
    <xf numFmtId="14" fontId="5" fillId="0" borderId="18" xfId="0" applyNumberFormat="1" applyFont="1" applyBorder="1" applyAlignment="1">
      <alignment horizontal="center" wrapText="1"/>
    </xf>
    <xf numFmtId="0" fontId="5" fillId="5" borderId="19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5" fillId="5" borderId="18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5" fillId="10" borderId="19" xfId="0" applyFont="1" applyFill="1" applyBorder="1" applyAlignment="1">
      <alignment horizontal="center" wrapText="1"/>
    </xf>
    <xf numFmtId="0" fontId="5" fillId="10" borderId="2" xfId="0" applyFont="1" applyFill="1" applyBorder="1" applyAlignment="1">
      <alignment horizontal="center" wrapText="1"/>
    </xf>
    <xf numFmtId="0" fontId="5" fillId="10" borderId="18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2" fontId="0" fillId="5" borderId="17" xfId="0" applyNumberFormat="1" applyFill="1" applyBorder="1"/>
    <xf numFmtId="2" fontId="0" fillId="5" borderId="0" xfId="0" applyNumberFormat="1" applyFill="1"/>
    <xf numFmtId="43" fontId="0" fillId="5" borderId="16" xfId="1" applyFont="1" applyFill="1" applyBorder="1"/>
    <xf numFmtId="2" fontId="0" fillId="4" borderId="17" xfId="0" applyNumberFormat="1" applyFill="1" applyBorder="1"/>
    <xf numFmtId="2" fontId="0" fillId="4" borderId="0" xfId="0" applyNumberFormat="1" applyFill="1"/>
    <xf numFmtId="43" fontId="0" fillId="4" borderId="16" xfId="1" applyFont="1" applyFill="1" applyBorder="1"/>
    <xf numFmtId="2" fontId="0" fillId="10" borderId="17" xfId="0" applyNumberFormat="1" applyFill="1" applyBorder="1"/>
    <xf numFmtId="2" fontId="0" fillId="10" borderId="0" xfId="0" applyNumberFormat="1" applyFill="1"/>
    <xf numFmtId="43" fontId="0" fillId="10" borderId="16" xfId="1" applyFont="1" applyFill="1" applyBorder="1"/>
    <xf numFmtId="43" fontId="0" fillId="6" borderId="0" xfId="1" applyFont="1" applyFill="1"/>
    <xf numFmtId="2" fontId="0" fillId="5" borderId="19" xfId="0" applyNumberFormat="1" applyFill="1" applyBorder="1"/>
    <xf numFmtId="2" fontId="0" fillId="5" borderId="2" xfId="0" applyNumberFormat="1" applyFill="1" applyBorder="1"/>
    <xf numFmtId="43" fontId="0" fillId="5" borderId="18" xfId="1" applyFont="1" applyFill="1" applyBorder="1"/>
    <xf numFmtId="2" fontId="0" fillId="4" borderId="19" xfId="0" applyNumberFormat="1" applyFill="1" applyBorder="1"/>
    <xf numFmtId="2" fontId="0" fillId="4" borderId="2" xfId="0" applyNumberFormat="1" applyFill="1" applyBorder="1"/>
    <xf numFmtId="43" fontId="0" fillId="4" borderId="18" xfId="1" applyFont="1" applyFill="1" applyBorder="1"/>
    <xf numFmtId="2" fontId="0" fillId="10" borderId="19" xfId="0" applyNumberFormat="1" applyFill="1" applyBorder="1"/>
    <xf numFmtId="2" fontId="0" fillId="10" borderId="2" xfId="0" applyNumberFormat="1" applyFill="1" applyBorder="1"/>
    <xf numFmtId="43" fontId="0" fillId="10" borderId="18" xfId="1" applyFont="1" applyFill="1" applyBorder="1"/>
    <xf numFmtId="43" fontId="0" fillId="5" borderId="0" xfId="1" applyFont="1" applyFill="1" applyBorder="1"/>
    <xf numFmtId="43" fontId="0" fillId="4" borderId="0" xfId="1" applyFont="1" applyFill="1" applyBorder="1"/>
    <xf numFmtId="43" fontId="0" fillId="10" borderId="0" xfId="1" applyFont="1" applyFill="1" applyBorder="1"/>
    <xf numFmtId="2" fontId="0" fillId="5" borderId="12" xfId="0" applyNumberFormat="1" applyFill="1" applyBorder="1"/>
    <xf numFmtId="44" fontId="2" fillId="5" borderId="12" xfId="2" applyFont="1" applyFill="1" applyBorder="1"/>
    <xf numFmtId="2" fontId="2" fillId="4" borderId="12" xfId="0" applyNumberFormat="1" applyFont="1" applyFill="1" applyBorder="1"/>
    <xf numFmtId="44" fontId="2" fillId="4" borderId="12" xfId="2" applyFont="1" applyFill="1" applyBorder="1"/>
    <xf numFmtId="2" fontId="2" fillId="10" borderId="12" xfId="0" applyNumberFormat="1" applyFont="1" applyFill="1" applyBorder="1"/>
    <xf numFmtId="44" fontId="2" fillId="10" borderId="12" xfId="2" applyFont="1" applyFill="1" applyBorder="1"/>
    <xf numFmtId="44" fontId="2" fillId="6" borderId="12" xfId="2" applyFont="1" applyFill="1" applyBorder="1"/>
    <xf numFmtId="43" fontId="0" fillId="0" borderId="0" xfId="1" applyFont="1" applyFill="1"/>
    <xf numFmtId="0" fontId="2" fillId="0" borderId="0" xfId="0" quotePrefix="1" applyFont="1" applyAlignment="1">
      <alignment horizontal="center"/>
    </xf>
    <xf numFmtId="16" fontId="0" fillId="7" borderId="0" xfId="0" quotePrefix="1" applyNumberFormat="1" applyFill="1"/>
    <xf numFmtId="164" fontId="0" fillId="0" borderId="1" xfId="1" applyNumberFormat="1" applyFont="1" applyFill="1" applyBorder="1" applyAlignment="1">
      <alignment horizontal="center"/>
    </xf>
    <xf numFmtId="43" fontId="1" fillId="0" borderId="1" xfId="1" applyFont="1" applyFill="1" applyBorder="1"/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left"/>
    </xf>
    <xf numFmtId="0" fontId="0" fillId="11" borderId="0" xfId="0" applyFill="1"/>
    <xf numFmtId="0" fontId="0" fillId="1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/>
    <xf numFmtId="164" fontId="0" fillId="7" borderId="1" xfId="1" applyNumberFormat="1" applyFont="1" applyFill="1" applyBorder="1" applyAlignment="1"/>
    <xf numFmtId="14" fontId="0" fillId="0" borderId="1" xfId="0" applyNumberFormat="1" applyBorder="1" applyAlignment="1">
      <alignment horizontal="left"/>
    </xf>
    <xf numFmtId="164" fontId="0" fillId="0" borderId="1" xfId="1" quotePrefix="1" applyNumberFormat="1" applyFont="1" applyBorder="1" applyAlignment="1"/>
    <xf numFmtId="4" fontId="0" fillId="0" borderId="7" xfId="0" applyNumberFormat="1" applyBorder="1"/>
    <xf numFmtId="4" fontId="0" fillId="0" borderId="8" xfId="0" applyNumberFormat="1" applyBorder="1"/>
    <xf numFmtId="0" fontId="0" fillId="5" borderId="1" xfId="0" applyFill="1" applyBorder="1"/>
    <xf numFmtId="164" fontId="0" fillId="5" borderId="1" xfId="1" applyNumberFormat="1" applyFont="1" applyFill="1" applyBorder="1" applyAlignment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43" fontId="0" fillId="5" borderId="1" xfId="1" applyFont="1" applyFill="1" applyBorder="1"/>
    <xf numFmtId="16" fontId="0" fillId="5" borderId="0" xfId="0" applyNumberFormat="1" applyFill="1"/>
    <xf numFmtId="0" fontId="17" fillId="0" borderId="0" xfId="0" applyFont="1"/>
    <xf numFmtId="0" fontId="17" fillId="0" borderId="0" xfId="0" applyFont="1" applyAlignment="1">
      <alignment horizontal="center"/>
    </xf>
    <xf numFmtId="43" fontId="0" fillId="0" borderId="3" xfId="0" applyNumberFormat="1" applyBorder="1"/>
    <xf numFmtId="0" fontId="2" fillId="4" borderId="0" xfId="0" applyFont="1" applyFill="1" applyAlignment="1">
      <alignment horizontal="center"/>
    </xf>
    <xf numFmtId="0" fontId="9" fillId="2" borderId="1" xfId="0" applyFont="1" applyFill="1" applyBorder="1"/>
    <xf numFmtId="164" fontId="9" fillId="2" borderId="1" xfId="1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3" fontId="9" fillId="2" borderId="1" xfId="1" applyFont="1" applyFill="1" applyBorder="1"/>
    <xf numFmtId="43" fontId="0" fillId="13" borderId="1" xfId="1" applyFont="1" applyFill="1" applyBorder="1"/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wrapText="1"/>
    </xf>
    <xf numFmtId="16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/>
    <xf numFmtId="16" fontId="0" fillId="0" borderId="1" xfId="0" applyNumberFormat="1" applyBorder="1"/>
    <xf numFmtId="14" fontId="0" fillId="0" borderId="1" xfId="0" applyNumberFormat="1" applyBorder="1"/>
    <xf numFmtId="16" fontId="0" fillId="0" borderId="0" xfId="0" quotePrefix="1" applyNumberFormat="1" applyAlignment="1">
      <alignment horizontal="left"/>
    </xf>
    <xf numFmtId="16" fontId="0" fillId="0" borderId="0" xfId="0" applyNumberFormat="1" applyAlignment="1">
      <alignment horizontal="left"/>
    </xf>
    <xf numFmtId="165" fontId="0" fillId="0" borderId="16" xfId="0" applyNumberFormat="1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wrapText="1"/>
    </xf>
    <xf numFmtId="16" fontId="0" fillId="0" borderId="0" xfId="0" quotePrefix="1" applyNumberFormat="1" applyAlignment="1">
      <alignment horizontal="right"/>
    </xf>
    <xf numFmtId="16" fontId="0" fillId="0" borderId="0" xfId="0" applyNumberFormat="1" applyAlignment="1">
      <alignment horizontal="right"/>
    </xf>
    <xf numFmtId="0" fontId="0" fillId="12" borderId="0" xfId="0" applyFill="1"/>
    <xf numFmtId="0" fontId="0" fillId="12" borderId="0" xfId="0" applyFill="1" applyAlignment="1">
      <alignment horizontal="center"/>
    </xf>
    <xf numFmtId="0" fontId="2" fillId="12" borderId="0" xfId="0" applyFont="1" applyFill="1" applyAlignment="1">
      <alignment horizontal="center"/>
    </xf>
    <xf numFmtId="0" fontId="0" fillId="12" borderId="0" xfId="0" applyFill="1" applyAlignment="1">
      <alignment horizontal="right"/>
    </xf>
    <xf numFmtId="43" fontId="0" fillId="12" borderId="0" xfId="1" applyFont="1" applyFill="1" applyAlignment="1">
      <alignment horizontal="center"/>
    </xf>
    <xf numFmtId="43" fontId="0" fillId="12" borderId="5" xfId="0" applyNumberFormat="1" applyFill="1" applyBorder="1" applyAlignment="1">
      <alignment horizontal="center"/>
    </xf>
    <xf numFmtId="164" fontId="0" fillId="0" borderId="0" xfId="1" applyNumberFormat="1" applyFont="1" applyBorder="1" applyAlignment="1"/>
    <xf numFmtId="43" fontId="0" fillId="0" borderId="0" xfId="1" applyFont="1" applyBorder="1"/>
    <xf numFmtId="43" fontId="0" fillId="0" borderId="0" xfId="1" applyFont="1" applyFill="1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8" fillId="15" borderId="10" xfId="0" applyFont="1" applyFill="1" applyBorder="1" applyAlignment="1">
      <alignment horizontal="center"/>
    </xf>
    <xf numFmtId="0" fontId="18" fillId="14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8" fillId="15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15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CE2A1F5C-A30F-4959-9CDD-7C920FA9BCAF}"/>
  </cellStyles>
  <dxfs count="0"/>
  <tableStyles count="0" defaultTableStyle="TableStyleMedium2" defaultPivotStyle="PivotStyleLight16"/>
  <colors>
    <mruColors>
      <color rgb="FFFF99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Disaster%20Events\COVID-19\Payroll%20COVID-19\Exempt%20Employees\Exempt%20Employee%20Overtime%20Calculations\Tracking-Pay-Eligible%20Exempt\Exempt%20Employees%20OT%20Pay%2006.24.21-07.7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Disaster%20Events\COVID-19\Payroll%20COVID-19\Exempt%20Employee%20Overtime%20Calculations\Exempt%20Employees%20OT%20Pay%2003.05.20-03.18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N4"/>
      <sheetName val="Baskett"/>
      <sheetName val="Brock"/>
      <sheetName val="Buie"/>
      <sheetName val="Cates"/>
      <sheetName val="Ceaser"/>
      <sheetName val="Cleaver"/>
      <sheetName val="Elledge"/>
      <sheetName val="Enna"/>
      <sheetName val="Furguson"/>
      <sheetName val="Gauthier"/>
      <sheetName val="Godfrey"/>
      <sheetName val="Howard"/>
      <sheetName val="Jackson"/>
      <sheetName val="Leal"/>
      <sheetName val="Lopez"/>
      <sheetName val="Miller"/>
      <sheetName val="Moore"/>
      <sheetName val="Noles"/>
      <sheetName val="Pacheco"/>
      <sheetName val="SmithA"/>
      <sheetName val="SmithD"/>
      <sheetName val="Strange"/>
      <sheetName val="Ward"/>
      <sheetName val="Whitehead"/>
      <sheetName val="Badgett"/>
      <sheetName val="Townsend"/>
      <sheetName val="Data"/>
      <sheetName val="Employee Job Salary 04.23.21"/>
      <sheetName val="Updated Eligible Exempt Summary"/>
      <sheetName val="Updated Template"/>
      <sheetName val="Eligible Exempt"/>
      <sheetName val="Balderas"/>
      <sheetName val="Jones"/>
      <sheetName val="Mauladad"/>
      <sheetName val="Myers"/>
      <sheetName val="Tucker"/>
    </sheetNames>
    <sheetDataSet>
      <sheetData sheetId="0"/>
      <sheetData sheetId="1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3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4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5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6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7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8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9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0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1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2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3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4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5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6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7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8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19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0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1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2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3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4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5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6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27"/>
      <sheetData sheetId="28">
        <row r="1">
          <cell r="B1" t="str">
            <v>Employee</v>
          </cell>
        </row>
      </sheetData>
      <sheetData sheetId="29"/>
      <sheetData sheetId="30"/>
      <sheetData sheetId="31"/>
      <sheetData sheetId="32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</sheetData>
      <sheetData sheetId="33">
        <row r="15">
          <cell r="D15">
            <v>0</v>
          </cell>
          <cell r="E15">
            <v>0</v>
          </cell>
          <cell r="F15">
            <v>0</v>
          </cell>
        </row>
        <row r="27">
          <cell r="D27">
            <v>0.75</v>
          </cell>
          <cell r="E27">
            <v>0</v>
          </cell>
          <cell r="F27">
            <v>0</v>
          </cell>
        </row>
      </sheetData>
      <sheetData sheetId="34">
        <row r="15">
          <cell r="D15">
            <v>1</v>
          </cell>
          <cell r="E15">
            <v>0</v>
          </cell>
          <cell r="F15">
            <v>0</v>
          </cell>
        </row>
        <row r="27">
          <cell r="D27">
            <v>0.5</v>
          </cell>
          <cell r="E27">
            <v>0</v>
          </cell>
          <cell r="F27">
            <v>0</v>
          </cell>
        </row>
      </sheetData>
      <sheetData sheetId="35">
        <row r="15">
          <cell r="D15">
            <v>0.5</v>
          </cell>
          <cell r="E15">
            <v>0</v>
          </cell>
          <cell r="F15">
            <v>0</v>
          </cell>
        </row>
        <row r="27">
          <cell r="D27">
            <v>0.5</v>
          </cell>
          <cell r="E27">
            <v>0</v>
          </cell>
          <cell r="F27">
            <v>0</v>
          </cell>
        </row>
      </sheetData>
      <sheetData sheetId="36">
        <row r="15">
          <cell r="D15">
            <v>3.5</v>
          </cell>
          <cell r="E15">
            <v>0</v>
          </cell>
          <cell r="F15">
            <v>0</v>
          </cell>
        </row>
        <row r="27">
          <cell r="D27">
            <v>0.5</v>
          </cell>
          <cell r="E27">
            <v>0</v>
          </cell>
          <cell r="F2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emplate"/>
      <sheetName val="Eligible Exempt Summary"/>
      <sheetName val="Noneligible Exempt Summary"/>
      <sheetName val="Summary-All"/>
      <sheetName val="Eligible Exempt"/>
      <sheetName val="Noneligible Exempt"/>
      <sheetName val="Amador"/>
      <sheetName val="Badgett"/>
      <sheetName val="Balderas"/>
      <sheetName val="Baskett"/>
      <sheetName val="Bowers"/>
      <sheetName val="Brock"/>
      <sheetName val="Buie"/>
      <sheetName val="Ceaser"/>
      <sheetName val="Elledge"/>
      <sheetName val="Enna"/>
      <sheetName val="Gauthier"/>
      <sheetName val="Godfrey"/>
      <sheetName val="Howard"/>
      <sheetName val="Jackson"/>
      <sheetName val="Jones"/>
      <sheetName val="Lopez"/>
      <sheetName val="Mauladad"/>
      <sheetName val="McAvoy"/>
      <sheetName val="Miller"/>
      <sheetName val="Noles"/>
      <sheetName val="Smith D."/>
      <sheetName val="Stevens"/>
      <sheetName val="Strange"/>
      <sheetName val="Townsend"/>
      <sheetName val="Tucker"/>
      <sheetName val="Ward"/>
      <sheetName val="Whitehead"/>
      <sheetName val="Acoba"/>
      <sheetName val="Aguirre"/>
      <sheetName val="Alfaro"/>
      <sheetName val="Bales"/>
      <sheetName val="Barott"/>
      <sheetName val="Bradley"/>
      <sheetName val="Cates"/>
      <sheetName val="Chernick"/>
      <sheetName val="Cleaver"/>
      <sheetName val="Cohen"/>
      <sheetName val="Cone"/>
      <sheetName val="Emminger"/>
      <sheetName val="Engle"/>
      <sheetName val="Ferguson"/>
      <sheetName val="Funderburk"/>
      <sheetName val="Grabenhorst"/>
      <sheetName val="Hallmark"/>
      <sheetName val="Harris"/>
      <sheetName val="Lagrone"/>
      <sheetName val="Lasby"/>
      <sheetName val="Leal"/>
      <sheetName val="Li"/>
      <sheetName val="Liston"/>
      <sheetName val="Mayer"/>
      <sheetName val="Mitchell"/>
      <sheetName val="Monsalve"/>
      <sheetName val="Mullaney"/>
      <sheetName val="Osborne Reasor"/>
      <sheetName val="Owen"/>
      <sheetName val="Pacheco"/>
      <sheetName val="Pannell"/>
      <sheetName val="Perrin"/>
      <sheetName val="Prasifka"/>
      <sheetName val="Rist"/>
      <sheetName val="Roberts"/>
      <sheetName val="Ruff"/>
      <sheetName val="Samples"/>
      <sheetName val="Saxton"/>
      <sheetName val="Shaw"/>
      <sheetName val="Smith A."/>
      <sheetName val="Sudack"/>
      <sheetName val="Sun"/>
      <sheetName val="Switzer"/>
      <sheetName val="Tschoerner"/>
      <sheetName val="Watkins"/>
      <sheetName val="Wetzel"/>
      <sheetName val="Williams"/>
      <sheetName val="Woodward"/>
      <sheetName val="Chadwick-NONEXEMPT"/>
      <sheetName val="Gustafson-NON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G17">
            <v>0</v>
          </cell>
        </row>
        <row r="36">
          <cell r="G36">
            <v>0</v>
          </cell>
        </row>
      </sheetData>
      <sheetData sheetId="8">
        <row r="17">
          <cell r="G17">
            <v>0</v>
          </cell>
        </row>
        <row r="36">
          <cell r="G36">
            <v>5</v>
          </cell>
        </row>
      </sheetData>
      <sheetData sheetId="9">
        <row r="17">
          <cell r="G17">
            <v>0</v>
          </cell>
        </row>
        <row r="36">
          <cell r="G36">
            <v>52</v>
          </cell>
        </row>
      </sheetData>
      <sheetData sheetId="10">
        <row r="17">
          <cell r="G17">
            <v>0</v>
          </cell>
        </row>
        <row r="36">
          <cell r="G36">
            <v>0</v>
          </cell>
        </row>
      </sheetData>
      <sheetData sheetId="11">
        <row r="17">
          <cell r="G17">
            <v>0</v>
          </cell>
        </row>
        <row r="36">
          <cell r="G36">
            <v>14.5</v>
          </cell>
        </row>
      </sheetData>
      <sheetData sheetId="12">
        <row r="17">
          <cell r="G17">
            <v>0</v>
          </cell>
        </row>
        <row r="36">
          <cell r="G36">
            <v>8.5</v>
          </cell>
        </row>
      </sheetData>
      <sheetData sheetId="13">
        <row r="17">
          <cell r="G17">
            <v>0</v>
          </cell>
        </row>
        <row r="36">
          <cell r="G36">
            <v>0</v>
          </cell>
        </row>
      </sheetData>
      <sheetData sheetId="14">
        <row r="17">
          <cell r="G17">
            <v>0</v>
          </cell>
        </row>
        <row r="36">
          <cell r="G36">
            <v>0</v>
          </cell>
        </row>
      </sheetData>
      <sheetData sheetId="15">
        <row r="17">
          <cell r="G17">
            <v>0</v>
          </cell>
        </row>
        <row r="36">
          <cell r="G36">
            <v>0</v>
          </cell>
        </row>
      </sheetData>
      <sheetData sheetId="16">
        <row r="17">
          <cell r="G17">
            <v>0</v>
          </cell>
        </row>
        <row r="36">
          <cell r="G36">
            <v>4</v>
          </cell>
        </row>
      </sheetData>
      <sheetData sheetId="17">
        <row r="17">
          <cell r="G17">
            <v>0</v>
          </cell>
        </row>
        <row r="36">
          <cell r="G36">
            <v>0</v>
          </cell>
        </row>
      </sheetData>
      <sheetData sheetId="18">
        <row r="17">
          <cell r="G17">
            <v>0</v>
          </cell>
        </row>
        <row r="36">
          <cell r="G36">
            <v>9.5</v>
          </cell>
        </row>
      </sheetData>
      <sheetData sheetId="19">
        <row r="17">
          <cell r="G17">
            <v>0</v>
          </cell>
        </row>
        <row r="36">
          <cell r="G36">
            <v>22.25</v>
          </cell>
        </row>
      </sheetData>
      <sheetData sheetId="20">
        <row r="17">
          <cell r="G17">
            <v>0</v>
          </cell>
        </row>
        <row r="36">
          <cell r="G36">
            <v>0</v>
          </cell>
        </row>
      </sheetData>
      <sheetData sheetId="21">
        <row r="17">
          <cell r="G17">
            <v>0</v>
          </cell>
        </row>
        <row r="36">
          <cell r="G36">
            <v>0</v>
          </cell>
        </row>
      </sheetData>
      <sheetData sheetId="22">
        <row r="17">
          <cell r="G17">
            <v>0</v>
          </cell>
        </row>
        <row r="36">
          <cell r="G36">
            <v>3.75</v>
          </cell>
        </row>
      </sheetData>
      <sheetData sheetId="23">
        <row r="17">
          <cell r="G17">
            <v>0</v>
          </cell>
        </row>
        <row r="36">
          <cell r="G36">
            <v>1</v>
          </cell>
        </row>
      </sheetData>
      <sheetData sheetId="24">
        <row r="17">
          <cell r="G17">
            <v>0</v>
          </cell>
        </row>
        <row r="36">
          <cell r="G36">
            <v>0</v>
          </cell>
        </row>
      </sheetData>
      <sheetData sheetId="25">
        <row r="17">
          <cell r="G17">
            <v>0</v>
          </cell>
        </row>
        <row r="36">
          <cell r="G36">
            <v>0</v>
          </cell>
        </row>
      </sheetData>
      <sheetData sheetId="26">
        <row r="17">
          <cell r="G17">
            <v>0</v>
          </cell>
        </row>
        <row r="36">
          <cell r="G36">
            <v>0</v>
          </cell>
        </row>
      </sheetData>
      <sheetData sheetId="27">
        <row r="17">
          <cell r="G17">
            <v>0</v>
          </cell>
        </row>
        <row r="36">
          <cell r="G36">
            <v>0</v>
          </cell>
        </row>
      </sheetData>
      <sheetData sheetId="28">
        <row r="17">
          <cell r="G17">
            <v>0</v>
          </cell>
        </row>
        <row r="36">
          <cell r="G36">
            <v>5.5</v>
          </cell>
        </row>
      </sheetData>
      <sheetData sheetId="29">
        <row r="17">
          <cell r="G17">
            <v>0</v>
          </cell>
        </row>
        <row r="36">
          <cell r="G36">
            <v>0</v>
          </cell>
        </row>
      </sheetData>
      <sheetData sheetId="30">
        <row r="17">
          <cell r="G17">
            <v>0</v>
          </cell>
        </row>
        <row r="36">
          <cell r="G36">
            <v>14</v>
          </cell>
        </row>
      </sheetData>
      <sheetData sheetId="31">
        <row r="17">
          <cell r="G17">
            <v>0</v>
          </cell>
        </row>
        <row r="36">
          <cell r="G36">
            <v>16.25</v>
          </cell>
        </row>
      </sheetData>
      <sheetData sheetId="32">
        <row r="17">
          <cell r="G17">
            <v>0</v>
          </cell>
        </row>
        <row r="36">
          <cell r="G36">
            <v>0</v>
          </cell>
        </row>
      </sheetData>
      <sheetData sheetId="33">
        <row r="17">
          <cell r="G17">
            <v>0</v>
          </cell>
        </row>
        <row r="36">
          <cell r="G36">
            <v>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2380-4721-4BDC-A477-2F0906D20E25}">
  <sheetPr>
    <tabColor rgb="FFFFFF00"/>
    <pageSetUpPr fitToPage="1"/>
  </sheetPr>
  <dimension ref="A1:P52"/>
  <sheetViews>
    <sheetView zoomScaleNormal="100" workbookViewId="0">
      <selection activeCell="D58" sqref="D58"/>
    </sheetView>
  </sheetViews>
  <sheetFormatPr defaultRowHeight="14.4" x14ac:dyDescent="0.3"/>
  <cols>
    <col min="1" max="1" width="12.5546875" customWidth="1"/>
    <col min="2" max="2" width="13.44140625" bestFit="1" customWidth="1"/>
    <col min="3" max="3" width="12.33203125" bestFit="1" customWidth="1"/>
    <col min="4" max="4" width="13.44140625" bestFit="1" customWidth="1"/>
    <col min="5" max="5" width="2.6640625" customWidth="1"/>
    <col min="6" max="6" width="13.44140625" bestFit="1" customWidth="1"/>
    <col min="7" max="7" width="12.33203125" bestFit="1" customWidth="1"/>
    <col min="8" max="8" width="13.44140625" bestFit="1" customWidth="1"/>
    <col min="9" max="9" width="2.6640625" customWidth="1"/>
    <col min="10" max="10" width="13.44140625" bestFit="1" customWidth="1"/>
    <col min="11" max="11" width="12.33203125" bestFit="1" customWidth="1"/>
    <col min="12" max="12" width="13.44140625" bestFit="1" customWidth="1"/>
    <col min="13" max="13" width="2.6640625" customWidth="1"/>
    <col min="14" max="14" width="13.44140625" customWidth="1"/>
    <col min="15" max="15" width="13.44140625" bestFit="1" customWidth="1"/>
  </cols>
  <sheetData>
    <row r="1" spans="1:16" x14ac:dyDescent="0.3">
      <c r="A1" s="185" t="s">
        <v>479</v>
      </c>
      <c r="B1" s="185"/>
      <c r="C1" s="185"/>
      <c r="D1" s="185"/>
      <c r="E1" s="185"/>
      <c r="F1" s="185"/>
      <c r="G1" s="185"/>
      <c r="H1" s="185"/>
    </row>
    <row r="2" spans="1:16" x14ac:dyDescent="0.3">
      <c r="A2" s="3"/>
      <c r="B2" s="187" t="s">
        <v>1233</v>
      </c>
      <c r="C2" s="187"/>
      <c r="D2" s="187"/>
      <c r="F2" s="186" t="s">
        <v>778</v>
      </c>
      <c r="G2" s="186"/>
      <c r="H2" s="186"/>
      <c r="J2" s="184" t="s">
        <v>777</v>
      </c>
      <c r="K2" s="184"/>
      <c r="L2" s="184"/>
      <c r="N2" s="32" t="s">
        <v>153</v>
      </c>
      <c r="O2" s="36" t="s">
        <v>154</v>
      </c>
    </row>
    <row r="3" spans="1:16" x14ac:dyDescent="0.3">
      <c r="B3" s="17" t="s">
        <v>9</v>
      </c>
      <c r="C3" s="18" t="s">
        <v>8</v>
      </c>
      <c r="D3" s="17" t="s">
        <v>27</v>
      </c>
      <c r="F3" s="17" t="s">
        <v>9</v>
      </c>
      <c r="G3" s="18" t="s">
        <v>8</v>
      </c>
      <c r="H3" s="17" t="s">
        <v>27</v>
      </c>
      <c r="J3" s="17" t="s">
        <v>9</v>
      </c>
      <c r="K3" s="18" t="s">
        <v>8</v>
      </c>
      <c r="L3" s="17" t="s">
        <v>27</v>
      </c>
      <c r="N3" s="33">
        <v>0.25</v>
      </c>
      <c r="O3" s="37">
        <v>0.75</v>
      </c>
    </row>
    <row r="4" spans="1:16" x14ac:dyDescent="0.3">
      <c r="A4" s="1" t="s">
        <v>18</v>
      </c>
      <c r="B4" s="16">
        <f>PayrollFY22!F59</f>
        <v>0</v>
      </c>
      <c r="C4" s="9">
        <v>0</v>
      </c>
      <c r="D4" s="16">
        <f>SUM(B4:C4)</f>
        <v>0</v>
      </c>
      <c r="F4" s="16">
        <f>PayrollFY21!F59</f>
        <v>144146.48000000007</v>
      </c>
      <c r="G4" s="9">
        <v>0</v>
      </c>
      <c r="H4" s="16">
        <f>SUM(F4:G4)</f>
        <v>144146.48000000007</v>
      </c>
      <c r="J4" s="16">
        <f>PayrollFY20!F40</f>
        <v>41942.200000000012</v>
      </c>
      <c r="K4" s="9">
        <v>0</v>
      </c>
      <c r="L4" s="16">
        <f>SUM(J4:K4)</f>
        <v>41942.200000000012</v>
      </c>
      <c r="N4" s="34">
        <f>(H4+L4)*$N$3</f>
        <v>46522.17000000002</v>
      </c>
      <c r="O4" s="38">
        <f>(H4+L4)*$O$3</f>
        <v>139566.51000000007</v>
      </c>
      <c r="P4" t="s">
        <v>879</v>
      </c>
    </row>
    <row r="5" spans="1:16" x14ac:dyDescent="0.3">
      <c r="A5" s="1" t="s">
        <v>26</v>
      </c>
      <c r="B5" s="16">
        <f>PurchasingCOVIDFY22!I73</f>
        <v>0</v>
      </c>
      <c r="C5" s="16">
        <f>PurchasingCOVIDFY22!H73</f>
        <v>75304.17</v>
      </c>
      <c r="D5" s="16">
        <f>SUM(B5:C5)</f>
        <v>75304.17</v>
      </c>
      <c r="F5" s="16">
        <f>PurchasingCOVIDFY21!I105</f>
        <v>518086.46000000008</v>
      </c>
      <c r="G5" s="16">
        <f>PurchasingCOVIDFY21!H105</f>
        <v>-6.1817218011128716E-13</v>
      </c>
      <c r="H5" s="16">
        <f>SUM(F5:G5)</f>
        <v>518086.46000000008</v>
      </c>
      <c r="J5" s="16">
        <f>PurchasingCOVIDFY20!I288</f>
        <v>1325945.6699999997</v>
      </c>
      <c r="K5" s="16">
        <f>PurchasingCOVIDFY20!H288</f>
        <v>0</v>
      </c>
      <c r="L5" s="16">
        <f>SUM(J5:K5)</f>
        <v>1325945.6699999997</v>
      </c>
      <c r="N5" s="34">
        <f>(H5+L5)*$N$3</f>
        <v>461008.03249999997</v>
      </c>
      <c r="O5" s="38">
        <f>(H5+L5)*$O$3</f>
        <v>1383024.0974999999</v>
      </c>
    </row>
    <row r="6" spans="1:16" x14ac:dyDescent="0.3">
      <c r="N6" s="35"/>
      <c r="O6" s="39"/>
    </row>
    <row r="7" spans="1:16" x14ac:dyDescent="0.3">
      <c r="N7" s="35"/>
      <c r="O7" s="39"/>
    </row>
    <row r="8" spans="1:16" ht="15" thickBot="1" x14ac:dyDescent="0.35">
      <c r="B8" s="19">
        <f>SUM(B4:B7)</f>
        <v>0</v>
      </c>
      <c r="C8" s="19">
        <f>SUM(C4:C7)</f>
        <v>75304.17</v>
      </c>
      <c r="D8" s="19">
        <f>SUM(D4:D7)</f>
        <v>75304.17</v>
      </c>
      <c r="F8" s="19">
        <f>SUM(F4:F7)</f>
        <v>662232.94000000018</v>
      </c>
      <c r="G8" s="19">
        <f>SUM(G4:G7)</f>
        <v>-6.1817218011128716E-13</v>
      </c>
      <c r="H8" s="19">
        <f>SUM(H4:H7)</f>
        <v>662232.94000000018</v>
      </c>
      <c r="J8" s="19">
        <f>SUM(J4:J7)</f>
        <v>1367887.8699999996</v>
      </c>
      <c r="K8" s="19">
        <f>SUM(K4:K7)</f>
        <v>0</v>
      </c>
      <c r="L8" s="19">
        <f>SUM(L4:L7)</f>
        <v>1367887.8699999996</v>
      </c>
      <c r="N8" s="40">
        <f>SUM(N4:N7)</f>
        <v>507530.20250000001</v>
      </c>
      <c r="O8" s="41">
        <f>SUM(O4:O7)</f>
        <v>1522590.6074999999</v>
      </c>
    </row>
    <row r="9" spans="1:16" ht="15" thickTop="1" x14ac:dyDescent="0.3"/>
    <row r="10" spans="1:16" hidden="1" x14ac:dyDescent="0.3">
      <c r="A10" s="185" t="s">
        <v>480</v>
      </c>
      <c r="B10" s="185"/>
      <c r="C10" s="185"/>
      <c r="D10" s="185"/>
      <c r="E10" s="185"/>
      <c r="F10" s="185"/>
      <c r="G10" s="185"/>
      <c r="H10" s="185"/>
      <c r="I10" s="58"/>
      <c r="J10" s="58"/>
      <c r="K10" s="58"/>
      <c r="L10" s="58"/>
    </row>
    <row r="11" spans="1:16" hidden="1" x14ac:dyDescent="0.3">
      <c r="B11" s="17" t="s">
        <v>9</v>
      </c>
      <c r="C11" s="18" t="s">
        <v>8</v>
      </c>
      <c r="D11" s="17" t="s">
        <v>27</v>
      </c>
      <c r="F11" s="17" t="s">
        <v>9</v>
      </c>
      <c r="G11" s="18" t="s">
        <v>8</v>
      </c>
      <c r="H11" s="17" t="s">
        <v>27</v>
      </c>
      <c r="J11" s="17" t="s">
        <v>9</v>
      </c>
      <c r="K11" s="18" t="s">
        <v>8</v>
      </c>
      <c r="L11" s="17" t="s">
        <v>27</v>
      </c>
      <c r="N11" s="33">
        <v>0.25</v>
      </c>
      <c r="O11" s="37">
        <v>0.75</v>
      </c>
    </row>
    <row r="12" spans="1:16" hidden="1" x14ac:dyDescent="0.3">
      <c r="A12" s="1" t="s">
        <v>18</v>
      </c>
      <c r="B12" s="16"/>
      <c r="C12" s="9"/>
      <c r="D12" s="16">
        <f t="shared" ref="D12:D13" si="0">SUM(B12:C12)</f>
        <v>0</v>
      </c>
      <c r="F12" s="16">
        <f>PayrollFY21!M59</f>
        <v>0</v>
      </c>
      <c r="G12" s="9">
        <v>0</v>
      </c>
      <c r="H12" s="16">
        <f t="shared" ref="H12:H13" si="1">SUM(F12:G12)</f>
        <v>0</v>
      </c>
      <c r="J12" s="16">
        <f>PayrollFY20!M40</f>
        <v>0</v>
      </c>
      <c r="K12" s="9">
        <v>0</v>
      </c>
      <c r="L12" s="16">
        <f>SUM(J12:K12)</f>
        <v>0</v>
      </c>
      <c r="N12" s="34">
        <f>L12*$N$3</f>
        <v>0</v>
      </c>
      <c r="O12" s="38">
        <f>L12*$O$3</f>
        <v>0</v>
      </c>
      <c r="P12" t="s">
        <v>779</v>
      </c>
    </row>
    <row r="13" spans="1:16" hidden="1" x14ac:dyDescent="0.3">
      <c r="A13" s="1" t="s">
        <v>26</v>
      </c>
      <c r="D13" s="16">
        <f t="shared" si="0"/>
        <v>0</v>
      </c>
      <c r="H13" s="16">
        <f t="shared" si="1"/>
        <v>0</v>
      </c>
      <c r="J13" s="16">
        <f>PurchasingPTR!I12</f>
        <v>0</v>
      </c>
      <c r="K13" s="16">
        <f>PurchasingPTR!H12</f>
        <v>0</v>
      </c>
      <c r="L13" s="16">
        <f>SUM(J13:K13)</f>
        <v>0</v>
      </c>
      <c r="N13" s="34">
        <f>L13*$N$3</f>
        <v>0</v>
      </c>
      <c r="O13" s="38">
        <f>L13*$O$3</f>
        <v>0</v>
      </c>
    </row>
    <row r="14" spans="1:16" hidden="1" x14ac:dyDescent="0.3">
      <c r="N14" s="35"/>
      <c r="O14" s="39"/>
    </row>
    <row r="15" spans="1:16" hidden="1" x14ac:dyDescent="0.3">
      <c r="N15" s="35"/>
      <c r="O15" s="39"/>
    </row>
    <row r="16" spans="1:16" ht="15" hidden="1" thickBot="1" x14ac:dyDescent="0.35">
      <c r="B16" s="19">
        <f>SUM(B12:B15)</f>
        <v>0</v>
      </c>
      <c r="C16" s="19">
        <f>SUM(C12:C15)</f>
        <v>0</v>
      </c>
      <c r="D16" s="19">
        <f>SUM(D12:D15)</f>
        <v>0</v>
      </c>
      <c r="F16" s="19">
        <f>SUM(F12:F15)</f>
        <v>0</v>
      </c>
      <c r="G16" s="19">
        <f>SUM(G12:G15)</f>
        <v>0</v>
      </c>
      <c r="H16" s="19">
        <f>SUM(H12:H15)</f>
        <v>0</v>
      </c>
      <c r="J16" s="19">
        <f>SUM(J12:J15)</f>
        <v>0</v>
      </c>
      <c r="K16" s="19">
        <f>SUM(K12:K15)</f>
        <v>0</v>
      </c>
      <c r="L16" s="19">
        <f>SUM(L12:L15)</f>
        <v>0</v>
      </c>
      <c r="N16" s="40">
        <f>SUM(N12:N15)</f>
        <v>0</v>
      </c>
      <c r="O16" s="41">
        <f>SUM(O12:O15)</f>
        <v>0</v>
      </c>
    </row>
    <row r="17" spans="1:16" ht="15" hidden="1" thickTop="1" x14ac:dyDescent="0.3"/>
    <row r="18" spans="1:16" hidden="1" x14ac:dyDescent="0.3">
      <c r="A18" s="58" t="s">
        <v>481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6" hidden="1" x14ac:dyDescent="0.3">
      <c r="B19" s="17" t="s">
        <v>9</v>
      </c>
      <c r="C19" s="18" t="s">
        <v>8</v>
      </c>
      <c r="D19" s="17" t="s">
        <v>27</v>
      </c>
      <c r="F19" s="17" t="s">
        <v>9</v>
      </c>
      <c r="G19" s="18" t="s">
        <v>8</v>
      </c>
      <c r="H19" s="17" t="s">
        <v>27</v>
      </c>
      <c r="J19" s="17" t="s">
        <v>9</v>
      </c>
      <c r="K19" s="18" t="s">
        <v>8</v>
      </c>
      <c r="L19" s="17" t="s">
        <v>27</v>
      </c>
      <c r="N19" s="33">
        <v>0.25</v>
      </c>
      <c r="O19" s="37">
        <v>0.75</v>
      </c>
    </row>
    <row r="20" spans="1:16" hidden="1" x14ac:dyDescent="0.3">
      <c r="A20" s="1" t="s">
        <v>18</v>
      </c>
      <c r="B20" s="16"/>
      <c r="C20" s="9"/>
      <c r="D20" s="16">
        <f t="shared" ref="D20:D21" si="2">SUM(B20:C20)</f>
        <v>0</v>
      </c>
      <c r="F20" s="16">
        <f>PayrollFY21!T59</f>
        <v>0</v>
      </c>
      <c r="G20" s="9">
        <v>0</v>
      </c>
      <c r="H20" s="16">
        <f t="shared" ref="H20:H21" si="3">SUM(F20:G20)</f>
        <v>0</v>
      </c>
      <c r="J20" s="16">
        <f>PayrollFY20!T40</f>
        <v>0</v>
      </c>
      <c r="K20" s="9">
        <v>0</v>
      </c>
      <c r="L20" s="16">
        <f>SUM(J20:K20)</f>
        <v>0</v>
      </c>
      <c r="N20" s="34">
        <f>L20*$N$3</f>
        <v>0</v>
      </c>
      <c r="O20" s="38">
        <f>L20*$O$3</f>
        <v>0</v>
      </c>
      <c r="P20" t="s">
        <v>779</v>
      </c>
    </row>
    <row r="21" spans="1:16" hidden="1" x14ac:dyDescent="0.3">
      <c r="A21" s="1" t="s">
        <v>26</v>
      </c>
      <c r="D21" s="16">
        <f t="shared" si="2"/>
        <v>0</v>
      </c>
      <c r="H21" s="16">
        <f t="shared" si="3"/>
        <v>0</v>
      </c>
      <c r="J21" s="16">
        <v>0</v>
      </c>
      <c r="K21" s="16">
        <v>0</v>
      </c>
      <c r="L21" s="16">
        <f>SUM(J21:K21)</f>
        <v>0</v>
      </c>
      <c r="N21" s="34">
        <f>L21*$N$3</f>
        <v>0</v>
      </c>
      <c r="O21" s="38">
        <f>L21*$O$3</f>
        <v>0</v>
      </c>
    </row>
    <row r="22" spans="1:16" hidden="1" x14ac:dyDescent="0.3">
      <c r="N22" s="35"/>
      <c r="O22" s="39"/>
    </row>
    <row r="23" spans="1:16" hidden="1" x14ac:dyDescent="0.3">
      <c r="N23" s="35"/>
      <c r="O23" s="39"/>
    </row>
    <row r="24" spans="1:16" ht="15" hidden="1" thickBot="1" x14ac:dyDescent="0.35">
      <c r="B24" s="19">
        <f>SUM(B20:B23)</f>
        <v>0</v>
      </c>
      <c r="C24" s="19">
        <f>SUM(C20:C23)</f>
        <v>0</v>
      </c>
      <c r="D24" s="19">
        <f>SUM(D20:D23)</f>
        <v>0</v>
      </c>
      <c r="F24" s="19">
        <f>SUM(F20:F23)</f>
        <v>0</v>
      </c>
      <c r="G24" s="19">
        <f>SUM(G20:G23)</f>
        <v>0</v>
      </c>
      <c r="H24" s="19">
        <f>SUM(H20:H23)</f>
        <v>0</v>
      </c>
      <c r="J24" s="19">
        <f>SUM(J20:J23)</f>
        <v>0</v>
      </c>
      <c r="K24" s="19">
        <f>SUM(K20:K23)</f>
        <v>0</v>
      </c>
      <c r="L24" s="19">
        <f>SUM(L20:L23)</f>
        <v>0</v>
      </c>
      <c r="N24" s="40">
        <f>SUM(N20:N23)</f>
        <v>0</v>
      </c>
      <c r="O24" s="41">
        <f>SUM(O20:O23)</f>
        <v>0</v>
      </c>
    </row>
    <row r="25" spans="1:16" ht="15" hidden="1" thickTop="1" x14ac:dyDescent="0.3"/>
    <row r="26" spans="1:16" x14ac:dyDescent="0.3">
      <c r="A26" s="185" t="s">
        <v>930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</row>
    <row r="27" spans="1:16" x14ac:dyDescent="0.3">
      <c r="B27" s="17" t="s">
        <v>9</v>
      </c>
      <c r="C27" s="18" t="s">
        <v>8</v>
      </c>
      <c r="D27" s="17" t="s">
        <v>27</v>
      </c>
      <c r="F27" s="17" t="s">
        <v>9</v>
      </c>
      <c r="G27" s="18" t="s">
        <v>8</v>
      </c>
      <c r="H27" s="17" t="s">
        <v>27</v>
      </c>
      <c r="J27" s="17" t="s">
        <v>9</v>
      </c>
      <c r="K27" s="18" t="s">
        <v>8</v>
      </c>
      <c r="L27" s="17" t="s">
        <v>27</v>
      </c>
      <c r="N27" s="33">
        <v>0.25</v>
      </c>
      <c r="O27" s="37">
        <v>0.75</v>
      </c>
    </row>
    <row r="28" spans="1:16" x14ac:dyDescent="0.3">
      <c r="A28" s="1" t="s">
        <v>18</v>
      </c>
      <c r="B28" s="16"/>
      <c r="C28" s="9"/>
      <c r="D28" s="16">
        <f t="shared" ref="D28:D29" si="4">SUM(B28:C28)</f>
        <v>0</v>
      </c>
      <c r="F28" s="16">
        <f>PayrollFY21!AA63</f>
        <v>106073.7</v>
      </c>
      <c r="G28" s="9">
        <v>0</v>
      </c>
      <c r="H28" s="16">
        <f t="shared" ref="H28:H29" si="5">SUM(F28:G28)</f>
        <v>106073.7</v>
      </c>
      <c r="J28" s="16">
        <f>PayrollFY20!T50</f>
        <v>0</v>
      </c>
      <c r="K28" s="9">
        <v>0</v>
      </c>
      <c r="L28" s="16">
        <f>SUM(J28:K28)</f>
        <v>0</v>
      </c>
      <c r="N28" s="34">
        <f>(H28+L28)*$N$3</f>
        <v>26518.424999999999</v>
      </c>
      <c r="O28" s="38">
        <f>(H28+L28)*$O$3</f>
        <v>79555.274999999994</v>
      </c>
    </row>
    <row r="29" spans="1:16" x14ac:dyDescent="0.3">
      <c r="A29" s="1" t="s">
        <v>26</v>
      </c>
      <c r="B29" s="16"/>
      <c r="C29" s="16"/>
      <c r="D29" s="16">
        <f t="shared" si="4"/>
        <v>0</v>
      </c>
      <c r="F29" s="16">
        <f>PurchasingVACCINEFY21!I29</f>
        <v>22467.599999999999</v>
      </c>
      <c r="G29" s="16">
        <f>PurchasingVACCINEFY21!H29</f>
        <v>0</v>
      </c>
      <c r="H29" s="16">
        <f t="shared" si="5"/>
        <v>22467.599999999999</v>
      </c>
      <c r="J29" s="16">
        <v>0</v>
      </c>
      <c r="K29" s="16">
        <v>0</v>
      </c>
      <c r="L29" s="16">
        <f>SUM(J29:K29)</f>
        <v>0</v>
      </c>
      <c r="N29" s="34">
        <f>(H29+L29)*$N$3</f>
        <v>5616.9</v>
      </c>
      <c r="O29" s="38">
        <f>(H29+L29)*$O$3</f>
        <v>16850.699999999997</v>
      </c>
    </row>
    <row r="30" spans="1:16" x14ac:dyDescent="0.3">
      <c r="N30" s="35"/>
      <c r="O30" s="39"/>
    </row>
    <row r="31" spans="1:16" x14ac:dyDescent="0.3">
      <c r="N31" s="35"/>
      <c r="O31" s="39"/>
    </row>
    <row r="32" spans="1:16" ht="15" thickBot="1" x14ac:dyDescent="0.35">
      <c r="B32" s="19">
        <f>SUM(B28:B31)</f>
        <v>0</v>
      </c>
      <c r="C32" s="19">
        <f>SUM(C28:C31)</f>
        <v>0</v>
      </c>
      <c r="D32" s="19">
        <f>SUM(D28:D31)</f>
        <v>0</v>
      </c>
      <c r="F32" s="19">
        <f>SUM(F28:F31)</f>
        <v>128541.29999999999</v>
      </c>
      <c r="G32" s="19">
        <f>SUM(G28:G31)</f>
        <v>0</v>
      </c>
      <c r="H32" s="19">
        <f>SUM(H28:H31)</f>
        <v>128541.29999999999</v>
      </c>
      <c r="J32" s="19">
        <f>SUM(J28:J31)</f>
        <v>0</v>
      </c>
      <c r="K32" s="19">
        <f>SUM(K28:K31)</f>
        <v>0</v>
      </c>
      <c r="L32" s="19">
        <f>SUM(L28:L31)</f>
        <v>0</v>
      </c>
      <c r="N32" s="40">
        <f>SUM(N28:N31)</f>
        <v>32135.324999999997</v>
      </c>
      <c r="O32" s="41">
        <f>SUM(O28:O31)</f>
        <v>96405.974999999991</v>
      </c>
    </row>
    <row r="33" spans="1:15" ht="15" thickTop="1" x14ac:dyDescent="0.3"/>
    <row r="34" spans="1:15" x14ac:dyDescent="0.3">
      <c r="A34" s="185" t="s">
        <v>977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</row>
    <row r="35" spans="1:15" x14ac:dyDescent="0.3">
      <c r="B35" s="17" t="s">
        <v>9</v>
      </c>
      <c r="C35" s="18" t="s">
        <v>8</v>
      </c>
      <c r="D35" s="17" t="s">
        <v>27</v>
      </c>
      <c r="F35" s="17" t="s">
        <v>9</v>
      </c>
      <c r="G35" s="18" t="s">
        <v>8</v>
      </c>
      <c r="H35" s="17" t="s">
        <v>27</v>
      </c>
      <c r="J35" s="17" t="s">
        <v>9</v>
      </c>
      <c r="K35" s="18" t="s">
        <v>8</v>
      </c>
      <c r="L35" s="17" t="s">
        <v>27</v>
      </c>
      <c r="N35" s="33">
        <v>0.25</v>
      </c>
      <c r="O35" s="37">
        <v>0.75</v>
      </c>
    </row>
    <row r="36" spans="1:15" x14ac:dyDescent="0.3">
      <c r="A36" s="1" t="s">
        <v>18</v>
      </c>
      <c r="B36" s="16"/>
      <c r="C36" s="9"/>
      <c r="D36" s="16">
        <f t="shared" ref="D36:D37" si="6">SUM(B36:C36)</f>
        <v>0</v>
      </c>
      <c r="F36" s="16">
        <f>PayrollFY21!AH63</f>
        <v>0</v>
      </c>
      <c r="G36" s="9">
        <v>0</v>
      </c>
      <c r="H36" s="16">
        <f t="shared" ref="H36:H37" si="7">SUM(F36:G36)</f>
        <v>0</v>
      </c>
      <c r="J36" s="16">
        <f>PayrollFY20!T58</f>
        <v>0</v>
      </c>
      <c r="K36" s="9">
        <v>0</v>
      </c>
      <c r="L36" s="16">
        <f>SUM(J36:K36)</f>
        <v>0</v>
      </c>
      <c r="N36" s="34">
        <f>(H36+L36)*$N$3</f>
        <v>0</v>
      </c>
      <c r="O36" s="38">
        <f>(H36+L36)*$O$3</f>
        <v>0</v>
      </c>
    </row>
    <row r="37" spans="1:15" x14ac:dyDescent="0.3">
      <c r="A37" s="1" t="s">
        <v>26</v>
      </c>
      <c r="B37" s="16"/>
      <c r="C37" s="16"/>
      <c r="D37" s="16">
        <f t="shared" si="6"/>
        <v>0</v>
      </c>
      <c r="F37" s="16">
        <f>PurchasingWinterStorm21!I107</f>
        <v>254351.07</v>
      </c>
      <c r="G37" s="16">
        <f>PurchasingWinterStorm21!H107</f>
        <v>0</v>
      </c>
      <c r="H37" s="16">
        <f t="shared" si="7"/>
        <v>254351.07</v>
      </c>
      <c r="J37" s="16">
        <v>0</v>
      </c>
      <c r="K37" s="16">
        <v>0</v>
      </c>
      <c r="L37" s="16">
        <f>SUM(J37:K37)</f>
        <v>0</v>
      </c>
      <c r="N37" s="34">
        <f>(H37+L37)*$N$3</f>
        <v>63587.767500000002</v>
      </c>
      <c r="O37" s="38">
        <f>(H37+L37)*$O$3</f>
        <v>190763.30249999999</v>
      </c>
    </row>
    <row r="38" spans="1:15" x14ac:dyDescent="0.3">
      <c r="N38" s="35"/>
      <c r="O38" s="39"/>
    </row>
    <row r="39" spans="1:15" x14ac:dyDescent="0.3">
      <c r="N39" s="35"/>
      <c r="O39" s="39"/>
    </row>
    <row r="40" spans="1:15" ht="15" thickBot="1" x14ac:dyDescent="0.35">
      <c r="B40" s="19">
        <f>SUM(B36:B39)</f>
        <v>0</v>
      </c>
      <c r="C40" s="19">
        <f>SUM(C36:C39)</f>
        <v>0</v>
      </c>
      <c r="D40" s="19">
        <f>SUM(D36:D39)</f>
        <v>0</v>
      </c>
      <c r="F40" s="19">
        <f>SUM(F36:F39)</f>
        <v>254351.07</v>
      </c>
      <c r="G40" s="19">
        <f>SUM(G36:G39)</f>
        <v>0</v>
      </c>
      <c r="H40" s="19">
        <f>SUM(H36:H39)</f>
        <v>254351.07</v>
      </c>
      <c r="J40" s="19">
        <f>SUM(J36:J39)</f>
        <v>0</v>
      </c>
      <c r="K40" s="19">
        <f>SUM(K36:K39)</f>
        <v>0</v>
      </c>
      <c r="L40" s="19">
        <f>SUM(L36:L39)</f>
        <v>0</v>
      </c>
      <c r="N40" s="40">
        <f>SUM(N36:N39)</f>
        <v>63587.767500000002</v>
      </c>
      <c r="O40" s="41">
        <f>SUM(O36:O39)</f>
        <v>190763.30249999999</v>
      </c>
    </row>
    <row r="41" spans="1:15" ht="15" thickTop="1" x14ac:dyDescent="0.3"/>
    <row r="42" spans="1:15" x14ac:dyDescent="0.3">
      <c r="A42" s="185" t="s">
        <v>1240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</row>
    <row r="43" spans="1:15" x14ac:dyDescent="0.3">
      <c r="B43" s="17" t="s">
        <v>9</v>
      </c>
      <c r="C43" s="18" t="s">
        <v>8</v>
      </c>
      <c r="D43" s="17" t="s">
        <v>27</v>
      </c>
      <c r="F43" s="17" t="s">
        <v>9</v>
      </c>
      <c r="G43" s="18" t="s">
        <v>8</v>
      </c>
      <c r="H43" s="17" t="s">
        <v>27</v>
      </c>
      <c r="J43" s="17" t="s">
        <v>9</v>
      </c>
      <c r="K43" s="18" t="s">
        <v>8</v>
      </c>
      <c r="L43" s="17" t="s">
        <v>27</v>
      </c>
      <c r="N43" s="33">
        <v>0.25</v>
      </c>
      <c r="O43" s="37">
        <v>0.75</v>
      </c>
    </row>
    <row r="44" spans="1:15" x14ac:dyDescent="0.3">
      <c r="A44" s="1" t="s">
        <v>18</v>
      </c>
      <c r="B44" s="16">
        <f>PayrollFY22!AO59</f>
        <v>8076.0599999999995</v>
      </c>
      <c r="C44" s="9">
        <v>0</v>
      </c>
      <c r="D44" s="16">
        <f t="shared" ref="D44:D45" si="8">SUM(B44:C44)</f>
        <v>8076.0599999999995</v>
      </c>
      <c r="F44" s="16">
        <f>PayrollFY21!AO63</f>
        <v>417.88</v>
      </c>
      <c r="G44" s="9">
        <v>0</v>
      </c>
      <c r="H44" s="16">
        <f t="shared" ref="H44:H45" si="9">SUM(F44:G44)</f>
        <v>417.88</v>
      </c>
      <c r="J44" s="16">
        <f>PayrollFY20!T66</f>
        <v>0</v>
      </c>
      <c r="K44" s="9">
        <v>0</v>
      </c>
      <c r="L44" s="16">
        <f>SUM(J44:K44)</f>
        <v>0</v>
      </c>
      <c r="N44" s="34">
        <f>(H44+L44)*$N$3</f>
        <v>104.47</v>
      </c>
      <c r="O44" s="38">
        <f>(H44+L44)*$O$3</f>
        <v>313.40999999999997</v>
      </c>
    </row>
    <row r="45" spans="1:15" x14ac:dyDescent="0.3">
      <c r="A45" s="1" t="s">
        <v>26</v>
      </c>
      <c r="B45" s="16">
        <f>PurchasingARPA22!I26</f>
        <v>130207.15</v>
      </c>
      <c r="C45" s="16">
        <f>PurchasingARPA22!H26</f>
        <v>0</v>
      </c>
      <c r="D45" s="16">
        <f t="shared" si="8"/>
        <v>130207.15</v>
      </c>
      <c r="F45" s="16">
        <v>0</v>
      </c>
      <c r="G45" s="16">
        <v>0</v>
      </c>
      <c r="H45" s="16">
        <f t="shared" si="9"/>
        <v>0</v>
      </c>
      <c r="J45" s="16">
        <v>0</v>
      </c>
      <c r="K45" s="16">
        <v>0</v>
      </c>
      <c r="L45" s="16">
        <f>SUM(J45:K45)</f>
        <v>0</v>
      </c>
      <c r="N45" s="34">
        <f>(H45+L45)*$N$3</f>
        <v>0</v>
      </c>
      <c r="O45" s="38">
        <f>(H45+L45)*$O$3</f>
        <v>0</v>
      </c>
    </row>
    <row r="46" spans="1:15" x14ac:dyDescent="0.3">
      <c r="N46" s="35"/>
      <c r="O46" s="39"/>
    </row>
    <row r="47" spans="1:15" x14ac:dyDescent="0.3">
      <c r="N47" s="35"/>
      <c r="O47" s="39"/>
    </row>
    <row r="48" spans="1:15" ht="15" thickBot="1" x14ac:dyDescent="0.35">
      <c r="B48" s="19">
        <f>SUM(B44:B47)</f>
        <v>138283.21</v>
      </c>
      <c r="C48" s="19">
        <f>SUM(C44:C47)</f>
        <v>0</v>
      </c>
      <c r="D48" s="19">
        <f>SUM(D44:D47)</f>
        <v>138283.21</v>
      </c>
      <c r="F48" s="19">
        <f>SUM(F44:F47)</f>
        <v>417.88</v>
      </c>
      <c r="G48" s="19">
        <f>SUM(G44:G47)</f>
        <v>0</v>
      </c>
      <c r="H48" s="19">
        <f>SUM(H44:H47)</f>
        <v>417.88</v>
      </c>
      <c r="J48" s="19">
        <f>SUM(J44:J47)</f>
        <v>0</v>
      </c>
      <c r="K48" s="19">
        <f>SUM(K44:K47)</f>
        <v>0</v>
      </c>
      <c r="L48" s="19">
        <f>SUM(L44:L47)</f>
        <v>0</v>
      </c>
      <c r="N48" s="40">
        <f>SUM(N44:N47)</f>
        <v>104.47</v>
      </c>
      <c r="O48" s="41">
        <f>SUM(O44:O47)</f>
        <v>313.40999999999997</v>
      </c>
    </row>
    <row r="49" spans="1:15" ht="15" thickTop="1" x14ac:dyDescent="0.3"/>
    <row r="50" spans="1:15" ht="15" thickBot="1" x14ac:dyDescent="0.35">
      <c r="B50" s="187" t="str">
        <f>B2</f>
        <v>FISCAL YEAR 2022</v>
      </c>
      <c r="C50" s="187"/>
      <c r="D50" s="187"/>
      <c r="F50" s="183" t="s">
        <v>778</v>
      </c>
      <c r="G50" s="183"/>
      <c r="H50" s="183"/>
      <c r="J50" s="184" t="s">
        <v>777</v>
      </c>
      <c r="K50" s="184"/>
      <c r="L50" s="184"/>
    </row>
    <row r="51" spans="1:15" x14ac:dyDescent="0.3">
      <c r="A51" s="66" t="s">
        <v>28</v>
      </c>
      <c r="B51" s="67">
        <v>138283.21</v>
      </c>
      <c r="C51" s="67">
        <v>75304.17</v>
      </c>
      <c r="D51" s="67">
        <f>B51+C51</f>
        <v>213587.38</v>
      </c>
      <c r="E51" s="68"/>
      <c r="F51" s="67">
        <v>1045543.19</v>
      </c>
      <c r="G51" s="67">
        <v>0</v>
      </c>
      <c r="H51" s="67">
        <f>F51+G51</f>
        <v>1045543.19</v>
      </c>
      <c r="I51" s="68"/>
      <c r="J51" s="67">
        <v>1367887.87</v>
      </c>
      <c r="K51" s="67">
        <v>0</v>
      </c>
      <c r="L51" s="67">
        <v>1367887.87</v>
      </c>
      <c r="M51" s="68"/>
      <c r="N51" s="136">
        <f>(H51+L51)*0.25</f>
        <v>603357.76500000001</v>
      </c>
      <c r="O51" s="137">
        <f>(H51+L51)*0.75</f>
        <v>1810073.2949999999</v>
      </c>
    </row>
    <row r="52" spans="1:15" ht="15" thickBot="1" x14ac:dyDescent="0.35">
      <c r="A52" s="69" t="s">
        <v>29</v>
      </c>
      <c r="B52" s="70">
        <f>B51-(B8+B16+B24+B32+B40+B48)</f>
        <v>0</v>
      </c>
      <c r="C52" s="70">
        <f>C51-(C8+C16+C24+C32+C40+C48)</f>
        <v>0</v>
      </c>
      <c r="D52" s="70">
        <f>D51-(D8+D16+D24+D32+D40+D48)</f>
        <v>0</v>
      </c>
      <c r="E52" s="71"/>
      <c r="F52" s="70">
        <f>F51-(F8+F16+F24+F32+F40+F48)</f>
        <v>0</v>
      </c>
      <c r="G52" s="70">
        <f>G51-(G8+G16+G24+G32+G40+G48)</f>
        <v>6.1817218011128716E-13</v>
      </c>
      <c r="H52" s="70">
        <f>H51-(H8+H16+H24+H32+H40+H48)</f>
        <v>0</v>
      </c>
      <c r="I52" s="71"/>
      <c r="J52" s="70">
        <f t="shared" ref="J52:L52" si="10">J51-(J8+J16+J24+J32+J40)</f>
        <v>0</v>
      </c>
      <c r="K52" s="70">
        <f t="shared" si="10"/>
        <v>0</v>
      </c>
      <c r="L52" s="70">
        <f t="shared" si="10"/>
        <v>0</v>
      </c>
      <c r="M52" s="71"/>
      <c r="N52" s="71"/>
      <c r="O52" s="72">
        <f>(H51+L51)-N51-O51</f>
        <v>0</v>
      </c>
    </row>
  </sheetData>
  <mergeCells count="11">
    <mergeCell ref="F50:H50"/>
    <mergeCell ref="J50:L50"/>
    <mergeCell ref="A1:H1"/>
    <mergeCell ref="A10:H10"/>
    <mergeCell ref="J2:L2"/>
    <mergeCell ref="F2:H2"/>
    <mergeCell ref="A26:M26"/>
    <mergeCell ref="A34:M34"/>
    <mergeCell ref="A42:M42"/>
    <mergeCell ref="B2:D2"/>
    <mergeCell ref="B50:D50"/>
  </mergeCells>
  <pageMargins left="0.7" right="0.7" top="0.75" bottom="0.75" header="0.3" footer="0.3"/>
  <pageSetup scale="54" orientation="portrait" r:id="rId1"/>
  <headerFooter>
    <oddFooter>&amp;C&amp;Z&amp;F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D452-FD6A-474C-AE27-95C3C2CF0D63}">
  <sheetPr>
    <tabColor theme="3" tint="0.59999389629810485"/>
    <pageSetUpPr fitToPage="1"/>
  </sheetPr>
  <dimension ref="A1:S312"/>
  <sheetViews>
    <sheetView zoomScaleNormal="100" workbookViewId="0">
      <pane xSplit="1" ySplit="4" topLeftCell="B284" activePane="bottomRight" state="frozen"/>
      <selection pane="topRight" activeCell="B1" sqref="B1"/>
      <selection pane="bottomLeft" activeCell="A5" sqref="A5"/>
      <selection pane="bottomRight" activeCell="G257" sqref="G257"/>
    </sheetView>
  </sheetViews>
  <sheetFormatPr defaultRowHeight="14.4" x14ac:dyDescent="0.3"/>
  <cols>
    <col min="1" max="1" width="41.44140625" bestFit="1" customWidth="1"/>
    <col min="2" max="2" width="14" customWidth="1"/>
    <col min="3" max="3" width="8" style="2" customWidth="1"/>
    <col min="4" max="4" width="32" customWidth="1"/>
    <col min="5" max="5" width="13.33203125" style="2" bestFit="1" customWidth="1"/>
    <col min="6" max="6" width="10" style="2" bestFit="1" customWidth="1"/>
    <col min="7" max="7" width="20.44140625" style="8" bestFit="1" customWidth="1"/>
    <col min="8" max="8" width="12.33203125" style="9" bestFit="1" customWidth="1"/>
    <col min="9" max="9" width="14" style="9" customWidth="1"/>
    <col min="10" max="10" width="16.33203125" bestFit="1" customWidth="1"/>
    <col min="11" max="11" width="12" style="2" bestFit="1" customWidth="1"/>
    <col min="12" max="12" width="14" style="2" customWidth="1"/>
    <col min="13" max="13" width="14.6640625" bestFit="1" customWidth="1"/>
    <col min="16" max="16" width="34.5546875" bestFit="1" customWidth="1"/>
    <col min="17" max="17" width="34.5546875" style="2" bestFit="1" customWidth="1"/>
    <col min="18" max="18" width="38.6640625" customWidth="1"/>
    <col min="19" max="19" width="28.6640625" style="2" customWidth="1"/>
  </cols>
  <sheetData>
    <row r="1" spans="1:19" x14ac:dyDescent="0.3">
      <c r="A1" s="189" t="s">
        <v>5</v>
      </c>
      <c r="B1" s="189"/>
      <c r="C1" s="189"/>
      <c r="D1" s="189"/>
    </row>
    <row r="2" spans="1:19" x14ac:dyDescent="0.3">
      <c r="A2" s="3"/>
      <c r="B2" s="3"/>
      <c r="C2" s="3"/>
      <c r="D2" s="3"/>
      <c r="M2" s="3" t="s">
        <v>155</v>
      </c>
    </row>
    <row r="3" spans="1:19" x14ac:dyDescent="0.3">
      <c r="A3" s="188" t="s">
        <v>4</v>
      </c>
      <c r="B3" s="188"/>
      <c r="C3" s="188"/>
      <c r="D3" s="188"/>
      <c r="M3" s="3" t="s">
        <v>156</v>
      </c>
      <c r="P3" s="35"/>
      <c r="Q3" s="154"/>
      <c r="R3" s="35"/>
      <c r="S3" s="147" t="s">
        <v>735</v>
      </c>
    </row>
    <row r="4" spans="1:19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  <c r="P4" s="147" t="s">
        <v>786</v>
      </c>
      <c r="Q4" s="147" t="s">
        <v>789</v>
      </c>
      <c r="R4" s="147" t="s">
        <v>787</v>
      </c>
      <c r="S4" s="147" t="s">
        <v>788</v>
      </c>
    </row>
    <row r="5" spans="1:19" x14ac:dyDescent="0.3">
      <c r="A5" s="184" t="s">
        <v>777</v>
      </c>
      <c r="B5" s="184"/>
      <c r="C5" s="184"/>
      <c r="D5" s="4"/>
      <c r="E5" s="5"/>
      <c r="F5" s="5"/>
      <c r="G5" s="10"/>
      <c r="H5" s="11"/>
      <c r="I5" s="11"/>
      <c r="J5" s="10"/>
      <c r="K5" s="5"/>
      <c r="L5" s="5"/>
      <c r="M5" s="5"/>
      <c r="P5" s="147"/>
      <c r="Q5" s="147"/>
      <c r="R5" s="147"/>
      <c r="S5" s="147"/>
    </row>
    <row r="6" spans="1:19" x14ac:dyDescent="0.3">
      <c r="A6" s="6" t="s">
        <v>338</v>
      </c>
      <c r="B6" s="6" t="s">
        <v>293</v>
      </c>
      <c r="C6" s="48">
        <v>3</v>
      </c>
      <c r="D6" s="6" t="s">
        <v>339</v>
      </c>
      <c r="E6" s="7" t="s">
        <v>289</v>
      </c>
      <c r="F6" s="7" t="s">
        <v>52</v>
      </c>
      <c r="G6" s="12" t="s">
        <v>283</v>
      </c>
      <c r="H6" s="44"/>
      <c r="I6" s="44">
        <v>22.98</v>
      </c>
      <c r="J6" s="12" t="s">
        <v>340</v>
      </c>
      <c r="K6" s="7"/>
      <c r="L6" s="7" t="s">
        <v>168</v>
      </c>
      <c r="M6" s="7" t="s">
        <v>362</v>
      </c>
      <c r="P6" t="s">
        <v>705</v>
      </c>
      <c r="Q6" s="2">
        <v>6246</v>
      </c>
      <c r="S6" s="2" t="s">
        <v>791</v>
      </c>
    </row>
    <row r="7" spans="1:19" x14ac:dyDescent="0.3">
      <c r="A7" s="6" t="s">
        <v>299</v>
      </c>
      <c r="B7" s="6" t="s">
        <v>293</v>
      </c>
      <c r="C7" s="43" t="s">
        <v>300</v>
      </c>
      <c r="D7" s="6"/>
      <c r="E7" s="7" t="s">
        <v>289</v>
      </c>
      <c r="F7" s="7" t="s">
        <v>52</v>
      </c>
      <c r="G7" s="12" t="s">
        <v>214</v>
      </c>
      <c r="H7" s="13"/>
      <c r="I7" s="44">
        <v>17.7</v>
      </c>
      <c r="J7" s="12" t="s">
        <v>296</v>
      </c>
      <c r="K7" s="7"/>
      <c r="L7" s="7" t="s">
        <v>168</v>
      </c>
      <c r="M7" s="7" t="s">
        <v>362</v>
      </c>
      <c r="N7" s="45">
        <v>43894</v>
      </c>
      <c r="P7" t="s">
        <v>705</v>
      </c>
      <c r="Q7" s="2">
        <v>6246</v>
      </c>
      <c r="S7" s="2" t="s">
        <v>791</v>
      </c>
    </row>
    <row r="8" spans="1:19" x14ac:dyDescent="0.3">
      <c r="A8" s="6" t="s">
        <v>294</v>
      </c>
      <c r="B8" s="6" t="s">
        <v>293</v>
      </c>
      <c r="C8" s="43">
        <v>6</v>
      </c>
      <c r="D8" s="6" t="s">
        <v>295</v>
      </c>
      <c r="E8" s="7" t="s">
        <v>289</v>
      </c>
      <c r="F8" s="7" t="s">
        <v>52</v>
      </c>
      <c r="G8" s="12" t="s">
        <v>214</v>
      </c>
      <c r="H8" s="13"/>
      <c r="I8" s="44">
        <v>17.7</v>
      </c>
      <c r="J8" s="12" t="s">
        <v>296</v>
      </c>
      <c r="K8" s="7"/>
      <c r="L8" s="7" t="s">
        <v>168</v>
      </c>
      <c r="M8" s="7" t="s">
        <v>362</v>
      </c>
      <c r="N8" s="45">
        <v>43894</v>
      </c>
      <c r="P8" t="s">
        <v>705</v>
      </c>
      <c r="Q8" s="2">
        <v>6246</v>
      </c>
      <c r="S8" s="2" t="s">
        <v>791</v>
      </c>
    </row>
    <row r="9" spans="1:19" x14ac:dyDescent="0.3">
      <c r="A9" s="6" t="s">
        <v>297</v>
      </c>
      <c r="B9" s="6" t="s">
        <v>293</v>
      </c>
      <c r="C9" s="43" t="s">
        <v>298</v>
      </c>
      <c r="D9" s="6" t="s">
        <v>301</v>
      </c>
      <c r="E9" s="7" t="s">
        <v>289</v>
      </c>
      <c r="F9" s="7" t="s">
        <v>52</v>
      </c>
      <c r="G9" s="12" t="s">
        <v>214</v>
      </c>
      <c r="H9" s="13"/>
      <c r="I9" s="44">
        <v>75.19</v>
      </c>
      <c r="J9" s="12" t="s">
        <v>296</v>
      </c>
      <c r="K9" s="7"/>
      <c r="L9" s="7" t="s">
        <v>168</v>
      </c>
      <c r="M9" s="7" t="s">
        <v>362</v>
      </c>
      <c r="N9" s="45">
        <v>43894</v>
      </c>
      <c r="P9" t="s">
        <v>705</v>
      </c>
      <c r="Q9" s="2">
        <v>6246</v>
      </c>
      <c r="S9" s="2" t="s">
        <v>791</v>
      </c>
    </row>
    <row r="10" spans="1:19" x14ac:dyDescent="0.3">
      <c r="A10" s="6" t="s">
        <v>297</v>
      </c>
      <c r="B10" s="6" t="s">
        <v>293</v>
      </c>
      <c r="C10" s="43" t="s">
        <v>298</v>
      </c>
      <c r="D10" s="6" t="s">
        <v>302</v>
      </c>
      <c r="E10" s="7" t="s">
        <v>289</v>
      </c>
      <c r="F10" s="7" t="s">
        <v>52</v>
      </c>
      <c r="G10" s="12" t="s">
        <v>214</v>
      </c>
      <c r="H10" s="13"/>
      <c r="I10" s="44">
        <v>81.99</v>
      </c>
      <c r="J10" s="12" t="s">
        <v>296</v>
      </c>
      <c r="K10" s="7"/>
      <c r="L10" s="7" t="s">
        <v>168</v>
      </c>
      <c r="M10" s="7" t="s">
        <v>362</v>
      </c>
      <c r="N10" s="45">
        <v>43894</v>
      </c>
      <c r="P10" t="s">
        <v>705</v>
      </c>
      <c r="Q10" s="2">
        <v>6246</v>
      </c>
      <c r="S10" s="2" t="s">
        <v>791</v>
      </c>
    </row>
    <row r="11" spans="1:19" x14ac:dyDescent="0.3">
      <c r="A11" s="6" t="s">
        <v>282</v>
      </c>
      <c r="B11" s="6" t="s">
        <v>280</v>
      </c>
      <c r="C11" s="43">
        <v>12</v>
      </c>
      <c r="D11" s="6" t="s">
        <v>281</v>
      </c>
      <c r="E11" s="7" t="s">
        <v>289</v>
      </c>
      <c r="F11" s="7" t="s">
        <v>52</v>
      </c>
      <c r="G11" s="12" t="s">
        <v>283</v>
      </c>
      <c r="H11" s="13"/>
      <c r="I11" s="44">
        <v>38.880000000000003</v>
      </c>
      <c r="J11" s="12" t="s">
        <v>284</v>
      </c>
      <c r="K11" s="7"/>
      <c r="L11" s="7" t="s">
        <v>168</v>
      </c>
      <c r="M11" s="7" t="s">
        <v>362</v>
      </c>
      <c r="N11" s="45">
        <v>43895</v>
      </c>
      <c r="P11" t="s">
        <v>705</v>
      </c>
      <c r="Q11" s="2">
        <v>6246</v>
      </c>
      <c r="S11" s="2" t="s">
        <v>791</v>
      </c>
    </row>
    <row r="12" spans="1:19" x14ac:dyDescent="0.3">
      <c r="A12" s="6" t="s">
        <v>376</v>
      </c>
      <c r="B12" s="6" t="s">
        <v>293</v>
      </c>
      <c r="C12" s="43">
        <v>1</v>
      </c>
      <c r="D12" s="6"/>
      <c r="E12" s="7" t="s">
        <v>289</v>
      </c>
      <c r="F12" s="7" t="s">
        <v>52</v>
      </c>
      <c r="G12" s="12" t="s">
        <v>262</v>
      </c>
      <c r="H12" s="13"/>
      <c r="I12" s="44">
        <v>85.33</v>
      </c>
      <c r="J12" s="12" t="s">
        <v>402</v>
      </c>
      <c r="K12" s="7"/>
      <c r="L12" s="7" t="s">
        <v>168</v>
      </c>
      <c r="M12" s="7" t="s">
        <v>362</v>
      </c>
      <c r="N12" s="50">
        <v>43944</v>
      </c>
      <c r="P12" t="s">
        <v>695</v>
      </c>
      <c r="Q12" s="2">
        <v>6246</v>
      </c>
      <c r="S12" s="2" t="s">
        <v>802</v>
      </c>
    </row>
    <row r="13" spans="1:19" x14ac:dyDescent="0.3">
      <c r="A13" s="6" t="s">
        <v>452</v>
      </c>
      <c r="B13" s="6" t="s">
        <v>310</v>
      </c>
      <c r="C13" s="43" t="s">
        <v>453</v>
      </c>
      <c r="D13" s="6"/>
      <c r="E13" s="7" t="s">
        <v>289</v>
      </c>
      <c r="F13" s="7" t="s">
        <v>52</v>
      </c>
      <c r="G13" s="12" t="s">
        <v>214</v>
      </c>
      <c r="H13" s="13"/>
      <c r="I13" s="44">
        <v>85.77</v>
      </c>
      <c r="J13" s="12" t="s">
        <v>313</v>
      </c>
      <c r="K13" s="7"/>
      <c r="L13" s="7" t="s">
        <v>168</v>
      </c>
      <c r="M13" s="7" t="s">
        <v>362</v>
      </c>
      <c r="N13" s="45">
        <v>43945</v>
      </c>
      <c r="P13" t="s">
        <v>705</v>
      </c>
      <c r="Q13" s="2">
        <v>6245</v>
      </c>
      <c r="S13" s="2" t="s">
        <v>791</v>
      </c>
    </row>
    <row r="14" spans="1:19" x14ac:dyDescent="0.3">
      <c r="A14" s="6" t="s">
        <v>211</v>
      </c>
      <c r="B14" s="6" t="s">
        <v>212</v>
      </c>
      <c r="C14" s="43" t="s">
        <v>213</v>
      </c>
      <c r="D14" s="6" t="s">
        <v>216</v>
      </c>
      <c r="E14" s="7" t="s">
        <v>289</v>
      </c>
      <c r="F14" s="7" t="s">
        <v>52</v>
      </c>
      <c r="G14" s="12" t="s">
        <v>214</v>
      </c>
      <c r="H14" s="13"/>
      <c r="I14" s="44">
        <v>14.67</v>
      </c>
      <c r="J14" s="12" t="s">
        <v>215</v>
      </c>
      <c r="K14" s="7"/>
      <c r="L14" s="7" t="s">
        <v>168</v>
      </c>
      <c r="M14" s="7" t="s">
        <v>362</v>
      </c>
      <c r="N14" s="45">
        <v>43906</v>
      </c>
      <c r="P14" t="s">
        <v>698</v>
      </c>
      <c r="Q14" s="2">
        <v>6246</v>
      </c>
      <c r="S14" s="2" t="s">
        <v>802</v>
      </c>
    </row>
    <row r="15" spans="1:19" x14ac:dyDescent="0.3">
      <c r="A15" s="6" t="s">
        <v>191</v>
      </c>
      <c r="B15" s="6" t="s">
        <v>212</v>
      </c>
      <c r="C15" s="43">
        <v>10</v>
      </c>
      <c r="D15" s="6" t="s">
        <v>217</v>
      </c>
      <c r="E15" s="7" t="s">
        <v>289</v>
      </c>
      <c r="F15" s="7" t="s">
        <v>52</v>
      </c>
      <c r="G15" s="12" t="s">
        <v>214</v>
      </c>
      <c r="H15" s="13"/>
      <c r="I15" s="44">
        <v>69.900000000000006</v>
      </c>
      <c r="J15" s="12" t="s">
        <v>215</v>
      </c>
      <c r="K15" s="7"/>
      <c r="L15" s="7" t="s">
        <v>168</v>
      </c>
      <c r="M15" s="7" t="s">
        <v>362</v>
      </c>
      <c r="N15" s="45">
        <v>43906</v>
      </c>
      <c r="P15" t="s">
        <v>701</v>
      </c>
      <c r="Q15" s="2">
        <v>6246</v>
      </c>
      <c r="S15" s="2" t="s">
        <v>802</v>
      </c>
    </row>
    <row r="16" spans="1:19" x14ac:dyDescent="0.3">
      <c r="A16" s="6" t="s">
        <v>218</v>
      </c>
      <c r="B16" s="6" t="s">
        <v>212</v>
      </c>
      <c r="C16" s="43">
        <v>2</v>
      </c>
      <c r="D16" s="6" t="s">
        <v>219</v>
      </c>
      <c r="E16" s="7" t="s">
        <v>289</v>
      </c>
      <c r="F16" s="7" t="s">
        <v>52</v>
      </c>
      <c r="G16" s="12" t="s">
        <v>214</v>
      </c>
      <c r="H16" s="13"/>
      <c r="I16" s="46">
        <v>199.98</v>
      </c>
      <c r="J16" s="12" t="s">
        <v>215</v>
      </c>
      <c r="K16" s="7"/>
      <c r="L16" s="131" t="s">
        <v>168</v>
      </c>
      <c r="M16" s="7" t="s">
        <v>362</v>
      </c>
      <c r="N16" s="45">
        <v>43914</v>
      </c>
      <c r="P16" t="s">
        <v>696</v>
      </c>
      <c r="Q16" s="2">
        <v>6280</v>
      </c>
      <c r="S16" s="2" t="s">
        <v>802</v>
      </c>
    </row>
    <row r="17" spans="1:19" x14ac:dyDescent="0.3">
      <c r="A17" s="6" t="s">
        <v>596</v>
      </c>
      <c r="B17" s="6" t="s">
        <v>212</v>
      </c>
      <c r="C17" s="48">
        <v>5</v>
      </c>
      <c r="D17" s="6"/>
      <c r="E17" s="7" t="s">
        <v>289</v>
      </c>
      <c r="F17" s="7" t="s">
        <v>52</v>
      </c>
      <c r="G17" s="12" t="s">
        <v>214</v>
      </c>
      <c r="H17" s="13"/>
      <c r="I17" s="46">
        <v>49.95</v>
      </c>
      <c r="J17" s="12" t="s">
        <v>215</v>
      </c>
      <c r="K17" s="7"/>
      <c r="L17" s="131" t="s">
        <v>168</v>
      </c>
      <c r="M17" s="7" t="s">
        <v>362</v>
      </c>
      <c r="N17" s="45">
        <v>43950</v>
      </c>
      <c r="P17" t="s">
        <v>696</v>
      </c>
      <c r="Q17" s="2">
        <v>6280</v>
      </c>
      <c r="S17" s="2" t="s">
        <v>802</v>
      </c>
    </row>
    <row r="18" spans="1:19" x14ac:dyDescent="0.3">
      <c r="A18" s="6" t="s">
        <v>541</v>
      </c>
      <c r="B18" s="6" t="s">
        <v>293</v>
      </c>
      <c r="C18" s="48" t="s">
        <v>197</v>
      </c>
      <c r="D18" s="6" t="s">
        <v>542</v>
      </c>
      <c r="E18" s="7" t="s">
        <v>289</v>
      </c>
      <c r="F18" s="7" t="s">
        <v>52</v>
      </c>
      <c r="G18" s="12" t="s">
        <v>262</v>
      </c>
      <c r="H18" s="126"/>
      <c r="I18" s="126">
        <v>123.18</v>
      </c>
      <c r="J18" s="12" t="s">
        <v>296</v>
      </c>
      <c r="K18" s="7"/>
      <c r="L18" s="7" t="s">
        <v>168</v>
      </c>
      <c r="M18" s="7" t="s">
        <v>362</v>
      </c>
      <c r="N18" s="45">
        <v>43951</v>
      </c>
      <c r="P18" t="s">
        <v>705</v>
      </c>
      <c r="Q18" s="2">
        <v>6246</v>
      </c>
      <c r="S18" s="2" t="s">
        <v>791</v>
      </c>
    </row>
    <row r="19" spans="1:19" x14ac:dyDescent="0.3">
      <c r="A19" s="6" t="s">
        <v>451</v>
      </c>
      <c r="B19" s="6" t="s">
        <v>212</v>
      </c>
      <c r="C19" s="43">
        <v>5</v>
      </c>
      <c r="D19" s="6"/>
      <c r="E19" s="7" t="s">
        <v>289</v>
      </c>
      <c r="F19" s="7" t="s">
        <v>52</v>
      </c>
      <c r="G19" s="12" t="s">
        <v>262</v>
      </c>
      <c r="H19" s="13"/>
      <c r="I19" s="46">
        <v>164.95</v>
      </c>
      <c r="J19" s="12" t="s">
        <v>215</v>
      </c>
      <c r="K19" s="7"/>
      <c r="L19" s="7" t="s">
        <v>168</v>
      </c>
      <c r="M19" s="7" t="s">
        <v>362</v>
      </c>
      <c r="N19" s="45">
        <v>43984</v>
      </c>
      <c r="P19" t="s">
        <v>696</v>
      </c>
      <c r="Q19" s="2">
        <v>6280</v>
      </c>
      <c r="S19" s="2" t="s">
        <v>802</v>
      </c>
    </row>
    <row r="20" spans="1:19" x14ac:dyDescent="0.3">
      <c r="A20" s="6" t="s">
        <v>594</v>
      </c>
      <c r="B20" s="6" t="s">
        <v>212</v>
      </c>
      <c r="C20" s="48">
        <v>4</v>
      </c>
      <c r="D20" s="6" t="s">
        <v>593</v>
      </c>
      <c r="E20" s="7" t="s">
        <v>289</v>
      </c>
      <c r="F20" s="7" t="s">
        <v>52</v>
      </c>
      <c r="G20" s="12" t="s">
        <v>262</v>
      </c>
      <c r="H20" s="13"/>
      <c r="I20" s="44">
        <v>143.96</v>
      </c>
      <c r="J20" s="12" t="s">
        <v>215</v>
      </c>
      <c r="K20" s="7"/>
      <c r="L20" s="7" t="s">
        <v>168</v>
      </c>
      <c r="M20" s="7" t="s">
        <v>362</v>
      </c>
      <c r="N20" s="45">
        <v>43998</v>
      </c>
      <c r="P20" t="s">
        <v>705</v>
      </c>
      <c r="Q20" s="2">
        <v>6280</v>
      </c>
      <c r="S20" s="2" t="s">
        <v>791</v>
      </c>
    </row>
    <row r="21" spans="1:19" x14ac:dyDescent="0.3">
      <c r="A21" s="6" t="s">
        <v>597</v>
      </c>
      <c r="B21" s="6" t="s">
        <v>212</v>
      </c>
      <c r="C21" s="43">
        <v>1</v>
      </c>
      <c r="D21" s="6" t="s">
        <v>598</v>
      </c>
      <c r="E21" s="7" t="s">
        <v>289</v>
      </c>
      <c r="F21" s="7" t="s">
        <v>52</v>
      </c>
      <c r="G21" s="12" t="s">
        <v>262</v>
      </c>
      <c r="H21" s="13"/>
      <c r="I21" s="13">
        <v>41.79</v>
      </c>
      <c r="J21" s="12" t="s">
        <v>215</v>
      </c>
      <c r="K21" s="7"/>
      <c r="L21" s="7" t="s">
        <v>168</v>
      </c>
      <c r="M21" s="7" t="s">
        <v>362</v>
      </c>
      <c r="N21" s="50">
        <v>44014</v>
      </c>
      <c r="P21" t="s">
        <v>705</v>
      </c>
      <c r="Q21" s="2">
        <v>6280</v>
      </c>
      <c r="S21" s="2" t="s">
        <v>791</v>
      </c>
    </row>
    <row r="22" spans="1:19" x14ac:dyDescent="0.3">
      <c r="A22" s="6" t="s">
        <v>612</v>
      </c>
      <c r="B22" s="6" t="s">
        <v>212</v>
      </c>
      <c r="C22" s="43">
        <v>1</v>
      </c>
      <c r="D22" s="6" t="s">
        <v>611</v>
      </c>
      <c r="E22" s="7" t="s">
        <v>289</v>
      </c>
      <c r="F22" s="7" t="s">
        <v>52</v>
      </c>
      <c r="G22" s="12" t="s">
        <v>262</v>
      </c>
      <c r="H22" s="13"/>
      <c r="I22" s="13">
        <v>37.99</v>
      </c>
      <c r="J22" s="12" t="s">
        <v>215</v>
      </c>
      <c r="K22" s="7"/>
      <c r="L22" s="7" t="s">
        <v>168</v>
      </c>
      <c r="M22" s="7" t="s">
        <v>362</v>
      </c>
      <c r="N22" s="45">
        <v>44033</v>
      </c>
      <c r="P22" t="s">
        <v>705</v>
      </c>
      <c r="Q22" s="2">
        <v>6280</v>
      </c>
      <c r="S22" s="2" t="s">
        <v>791</v>
      </c>
    </row>
    <row r="23" spans="1:19" x14ac:dyDescent="0.3">
      <c r="A23" s="6" t="s">
        <v>451</v>
      </c>
      <c r="B23" s="6" t="s">
        <v>212</v>
      </c>
      <c r="C23" s="43">
        <v>1</v>
      </c>
      <c r="D23" s="6" t="s">
        <v>595</v>
      </c>
      <c r="E23" s="7" t="s">
        <v>289</v>
      </c>
      <c r="F23" s="7" t="s">
        <v>52</v>
      </c>
      <c r="G23" s="12" t="s">
        <v>262</v>
      </c>
      <c r="H23" s="13"/>
      <c r="I23" s="46">
        <v>29.99</v>
      </c>
      <c r="J23" s="12" t="s">
        <v>215</v>
      </c>
      <c r="K23" s="7"/>
      <c r="L23" s="7" t="s">
        <v>168</v>
      </c>
      <c r="M23" s="7" t="s">
        <v>362</v>
      </c>
      <c r="N23" s="50">
        <v>44018</v>
      </c>
      <c r="P23" t="s">
        <v>696</v>
      </c>
      <c r="Q23" s="2">
        <v>6280</v>
      </c>
      <c r="S23" s="2" t="s">
        <v>802</v>
      </c>
    </row>
    <row r="24" spans="1:19" x14ac:dyDescent="0.3">
      <c r="A24" s="132" t="s">
        <v>692</v>
      </c>
      <c r="B24" s="56" t="s">
        <v>212</v>
      </c>
      <c r="C24" s="133"/>
      <c r="D24" s="132" t="s">
        <v>693</v>
      </c>
      <c r="E24" s="7" t="s">
        <v>289</v>
      </c>
      <c r="F24" s="7" t="s">
        <v>52</v>
      </c>
      <c r="G24" s="12" t="s">
        <v>262</v>
      </c>
      <c r="H24" s="13"/>
      <c r="I24" s="44">
        <v>-35.99</v>
      </c>
      <c r="J24" s="12" t="s">
        <v>215</v>
      </c>
      <c r="K24" s="7"/>
      <c r="L24" s="7" t="s">
        <v>168</v>
      </c>
      <c r="M24" s="7" t="s">
        <v>362</v>
      </c>
      <c r="N24" s="124">
        <v>44034</v>
      </c>
      <c r="P24" t="s">
        <v>705</v>
      </c>
      <c r="Q24" s="2">
        <v>6280</v>
      </c>
      <c r="S24" s="2" t="s">
        <v>791</v>
      </c>
    </row>
    <row r="25" spans="1:19" x14ac:dyDescent="0.3">
      <c r="A25" s="6" t="s">
        <v>670</v>
      </c>
      <c r="B25" s="6" t="s">
        <v>212</v>
      </c>
      <c r="C25" s="48">
        <v>1</v>
      </c>
      <c r="D25" s="6" t="s">
        <v>671</v>
      </c>
      <c r="E25" s="7" t="s">
        <v>289</v>
      </c>
      <c r="F25" s="7" t="s">
        <v>52</v>
      </c>
      <c r="G25" s="12" t="s">
        <v>262</v>
      </c>
      <c r="H25" s="13"/>
      <c r="I25" s="44">
        <v>24.21</v>
      </c>
      <c r="J25" s="12" t="s">
        <v>215</v>
      </c>
      <c r="K25" s="7"/>
      <c r="L25" s="7" t="s">
        <v>168</v>
      </c>
      <c r="M25" s="7" t="s">
        <v>362</v>
      </c>
      <c r="N25" s="45">
        <v>44034</v>
      </c>
      <c r="P25" t="s">
        <v>705</v>
      </c>
      <c r="Q25" s="2">
        <v>6280</v>
      </c>
      <c r="S25" s="2" t="s">
        <v>791</v>
      </c>
    </row>
    <row r="26" spans="1:19" x14ac:dyDescent="0.3">
      <c r="A26" s="148" t="s">
        <v>748</v>
      </c>
      <c r="B26" s="148" t="s">
        <v>753</v>
      </c>
      <c r="C26" s="149"/>
      <c r="D26" s="148"/>
      <c r="E26" s="150" t="s">
        <v>289</v>
      </c>
      <c r="F26" s="150"/>
      <c r="G26" s="151"/>
      <c r="H26" s="152"/>
      <c r="I26" s="152">
        <v>-211.96</v>
      </c>
      <c r="J26" s="151" t="s">
        <v>749</v>
      </c>
      <c r="K26" s="150"/>
      <c r="L26" s="150" t="s">
        <v>750</v>
      </c>
      <c r="M26" s="150"/>
      <c r="N26" s="157"/>
      <c r="O26" s="158"/>
      <c r="P26" s="158"/>
      <c r="Q26" s="158"/>
      <c r="R26" s="158"/>
      <c r="S26" s="159" t="s">
        <v>798</v>
      </c>
    </row>
    <row r="27" spans="1:19" x14ac:dyDescent="0.3">
      <c r="A27" s="148" t="s">
        <v>751</v>
      </c>
      <c r="B27" s="148" t="s">
        <v>753</v>
      </c>
      <c r="C27" s="149"/>
      <c r="D27" s="148"/>
      <c r="E27" s="150" t="s">
        <v>289</v>
      </c>
      <c r="F27" s="150"/>
      <c r="G27" s="151"/>
      <c r="H27" s="152"/>
      <c r="I27" s="152">
        <v>-85.77</v>
      </c>
      <c r="J27" s="151" t="s">
        <v>749</v>
      </c>
      <c r="K27" s="150"/>
      <c r="L27" s="150" t="s">
        <v>750</v>
      </c>
      <c r="M27" s="150"/>
      <c r="N27" s="157"/>
      <c r="O27" s="158"/>
      <c r="P27" s="158"/>
      <c r="Q27" s="158"/>
      <c r="R27" s="158"/>
      <c r="S27" s="159" t="s">
        <v>798</v>
      </c>
    </row>
    <row r="28" spans="1:19" x14ac:dyDescent="0.3">
      <c r="A28" s="148" t="s">
        <v>752</v>
      </c>
      <c r="B28" s="148" t="s">
        <v>753</v>
      </c>
      <c r="C28" s="149"/>
      <c r="D28" s="148"/>
      <c r="E28" s="150" t="s">
        <v>289</v>
      </c>
      <c r="F28" s="150"/>
      <c r="G28" s="151"/>
      <c r="H28" s="152"/>
      <c r="I28" s="152">
        <v>-377.62</v>
      </c>
      <c r="J28" s="151" t="s">
        <v>749</v>
      </c>
      <c r="K28" s="150"/>
      <c r="L28" s="150" t="s">
        <v>750</v>
      </c>
      <c r="M28" s="150"/>
      <c r="N28" s="157"/>
      <c r="O28" s="158"/>
      <c r="P28" s="158"/>
      <c r="Q28" s="158"/>
      <c r="R28" s="158"/>
      <c r="S28" s="159" t="s">
        <v>798</v>
      </c>
    </row>
    <row r="29" spans="1:19" x14ac:dyDescent="0.3">
      <c r="A29" s="148" t="s">
        <v>754</v>
      </c>
      <c r="B29" s="148" t="s">
        <v>753</v>
      </c>
      <c r="C29" s="149"/>
      <c r="D29" s="148"/>
      <c r="E29" s="150" t="s">
        <v>289</v>
      </c>
      <c r="F29" s="150"/>
      <c r="G29" s="151"/>
      <c r="H29" s="152"/>
      <c r="I29" s="152">
        <v>-614.77</v>
      </c>
      <c r="J29" s="151" t="s">
        <v>749</v>
      </c>
      <c r="K29" s="150"/>
      <c r="L29" s="150" t="s">
        <v>755</v>
      </c>
      <c r="M29" s="150"/>
      <c r="N29" s="157"/>
      <c r="O29" s="158"/>
      <c r="P29" s="158"/>
      <c r="Q29" s="158"/>
      <c r="R29" s="158"/>
      <c r="S29" s="159" t="s">
        <v>798</v>
      </c>
    </row>
    <row r="30" spans="1:19" x14ac:dyDescent="0.3">
      <c r="A30" s="6" t="s">
        <v>399</v>
      </c>
      <c r="B30" s="6" t="s">
        <v>195</v>
      </c>
      <c r="C30" s="43">
        <v>27</v>
      </c>
      <c r="D30" s="6" t="s">
        <v>401</v>
      </c>
      <c r="E30" s="7" t="s">
        <v>162</v>
      </c>
      <c r="F30" s="7">
        <v>22000401</v>
      </c>
      <c r="G30" s="12" t="s">
        <v>400</v>
      </c>
      <c r="H30" s="13">
        <v>0</v>
      </c>
      <c r="I30" s="44">
        <v>3100</v>
      </c>
      <c r="J30" s="12" t="s">
        <v>182</v>
      </c>
      <c r="K30" s="15">
        <v>44001</v>
      </c>
      <c r="L30" s="7">
        <v>238426</v>
      </c>
      <c r="M30" s="7" t="s">
        <v>362</v>
      </c>
      <c r="P30" t="s">
        <v>705</v>
      </c>
      <c r="Q30" s="2">
        <v>6246</v>
      </c>
      <c r="S30" s="2" t="s">
        <v>791</v>
      </c>
    </row>
    <row r="31" spans="1:19" x14ac:dyDescent="0.3">
      <c r="A31" s="6" t="s">
        <v>160</v>
      </c>
      <c r="B31" s="6" t="s">
        <v>195</v>
      </c>
      <c r="C31" s="43">
        <v>24</v>
      </c>
      <c r="D31" s="6" t="s">
        <v>178</v>
      </c>
      <c r="E31" s="7" t="s">
        <v>162</v>
      </c>
      <c r="F31" s="7" t="s">
        <v>52</v>
      </c>
      <c r="G31" s="12" t="s">
        <v>177</v>
      </c>
      <c r="H31" s="13"/>
      <c r="I31" s="44">
        <v>567.54</v>
      </c>
      <c r="J31" s="12" t="s">
        <v>182</v>
      </c>
      <c r="K31" s="15">
        <v>43952</v>
      </c>
      <c r="L31" s="7">
        <v>237893</v>
      </c>
      <c r="M31" s="7" t="s">
        <v>362</v>
      </c>
      <c r="P31" t="s">
        <v>705</v>
      </c>
      <c r="Q31" s="2">
        <v>6246</v>
      </c>
      <c r="S31" s="2" t="s">
        <v>791</v>
      </c>
    </row>
    <row r="32" spans="1:19" x14ac:dyDescent="0.3">
      <c r="A32" s="6" t="s">
        <v>236</v>
      </c>
      <c r="B32" s="6" t="s">
        <v>195</v>
      </c>
      <c r="C32" s="43"/>
      <c r="D32" s="6" t="s">
        <v>726</v>
      </c>
      <c r="E32" s="7" t="s">
        <v>162</v>
      </c>
      <c r="F32" s="7" t="s">
        <v>52</v>
      </c>
      <c r="G32" s="12" t="s">
        <v>630</v>
      </c>
      <c r="H32" s="13"/>
      <c r="I32" s="44">
        <v>127.6</v>
      </c>
      <c r="J32" s="12" t="s">
        <v>182</v>
      </c>
      <c r="K32" s="15">
        <v>44099</v>
      </c>
      <c r="L32" s="7">
        <v>239665</v>
      </c>
      <c r="M32" s="7" t="s">
        <v>362</v>
      </c>
      <c r="Q32"/>
    </row>
    <row r="33" spans="1:19" x14ac:dyDescent="0.3">
      <c r="A33" s="6" t="s">
        <v>236</v>
      </c>
      <c r="B33" s="6" t="s">
        <v>195</v>
      </c>
      <c r="C33" s="43" t="s">
        <v>629</v>
      </c>
      <c r="D33" s="6"/>
      <c r="E33" s="7" t="s">
        <v>162</v>
      </c>
      <c r="F33" s="7" t="s">
        <v>52</v>
      </c>
      <c r="G33" s="12" t="s">
        <v>630</v>
      </c>
      <c r="H33" s="13"/>
      <c r="I33" s="44">
        <v>54.45</v>
      </c>
      <c r="J33" s="12" t="s">
        <v>182</v>
      </c>
      <c r="K33" s="15"/>
      <c r="L33" s="7" t="s">
        <v>168</v>
      </c>
      <c r="M33" s="7" t="s">
        <v>362</v>
      </c>
      <c r="P33" t="s">
        <v>705</v>
      </c>
      <c r="Q33" s="2">
        <v>6246</v>
      </c>
      <c r="S33" s="2" t="s">
        <v>791</v>
      </c>
    </row>
    <row r="34" spans="1:19" x14ac:dyDescent="0.3">
      <c r="A34" s="6" t="s">
        <v>236</v>
      </c>
      <c r="B34" s="6" t="s">
        <v>195</v>
      </c>
      <c r="C34" s="43" t="s">
        <v>631</v>
      </c>
      <c r="D34" s="6"/>
      <c r="E34" s="7" t="s">
        <v>162</v>
      </c>
      <c r="F34" s="7" t="s">
        <v>52</v>
      </c>
      <c r="G34" s="12" t="s">
        <v>630</v>
      </c>
      <c r="H34" s="13"/>
      <c r="I34" s="44">
        <v>45.36</v>
      </c>
      <c r="J34" s="12" t="s">
        <v>182</v>
      </c>
      <c r="K34" s="15"/>
      <c r="L34" s="7" t="s">
        <v>168</v>
      </c>
      <c r="M34" s="7" t="s">
        <v>362</v>
      </c>
      <c r="P34" t="s">
        <v>705</v>
      </c>
      <c r="Q34" s="2">
        <v>6246</v>
      </c>
      <c r="S34" s="2" t="s">
        <v>791</v>
      </c>
    </row>
    <row r="35" spans="1:19" x14ac:dyDescent="0.3">
      <c r="A35" s="6" t="s">
        <v>236</v>
      </c>
      <c r="B35" s="6" t="s">
        <v>195</v>
      </c>
      <c r="C35" s="43" t="s">
        <v>746</v>
      </c>
      <c r="D35" s="6" t="s">
        <v>747</v>
      </c>
      <c r="E35" s="7" t="s">
        <v>162</v>
      </c>
      <c r="F35" s="7" t="s">
        <v>52</v>
      </c>
      <c r="G35" s="12" t="s">
        <v>630</v>
      </c>
      <c r="H35" s="13"/>
      <c r="I35" s="44">
        <v>111.34</v>
      </c>
      <c r="J35" s="12" t="s">
        <v>182</v>
      </c>
      <c r="K35" s="15">
        <v>44113</v>
      </c>
      <c r="L35" s="7">
        <v>239818</v>
      </c>
      <c r="M35" s="7" t="s">
        <v>362</v>
      </c>
      <c r="Q35"/>
    </row>
    <row r="36" spans="1:19" x14ac:dyDescent="0.3">
      <c r="A36" s="6" t="s">
        <v>341</v>
      </c>
      <c r="B36" s="6" t="s">
        <v>195</v>
      </c>
      <c r="C36" s="48">
        <v>6</v>
      </c>
      <c r="D36" s="6"/>
      <c r="E36" s="7" t="s">
        <v>162</v>
      </c>
      <c r="F36" s="7" t="s">
        <v>52</v>
      </c>
      <c r="G36" s="12" t="s">
        <v>167</v>
      </c>
      <c r="H36" s="13"/>
      <c r="I36" s="44">
        <v>378.46</v>
      </c>
      <c r="J36" s="12" t="s">
        <v>182</v>
      </c>
      <c r="K36" s="7"/>
      <c r="L36" s="7" t="s">
        <v>168</v>
      </c>
      <c r="M36" s="7" t="s">
        <v>362</v>
      </c>
      <c r="P36" t="s">
        <v>705</v>
      </c>
      <c r="Q36" s="2">
        <v>6246</v>
      </c>
      <c r="S36" s="2" t="s">
        <v>791</v>
      </c>
    </row>
    <row r="37" spans="1:19" x14ac:dyDescent="0.3">
      <c r="A37" s="6" t="s">
        <v>341</v>
      </c>
      <c r="B37" s="6" t="s">
        <v>195</v>
      </c>
      <c r="C37" s="48">
        <f>3+3+3</f>
        <v>9</v>
      </c>
      <c r="D37" s="6"/>
      <c r="E37" s="7" t="s">
        <v>162</v>
      </c>
      <c r="F37" s="7" t="s">
        <v>52</v>
      </c>
      <c r="G37" s="12" t="s">
        <v>169</v>
      </c>
      <c r="H37" s="13"/>
      <c r="I37" s="44">
        <v>29.7</v>
      </c>
      <c r="J37" s="12" t="s">
        <v>182</v>
      </c>
      <c r="K37" s="7"/>
      <c r="L37" s="7" t="s">
        <v>168</v>
      </c>
      <c r="M37" s="7" t="s">
        <v>362</v>
      </c>
      <c r="N37" s="45">
        <v>43914</v>
      </c>
      <c r="P37" t="s">
        <v>705</v>
      </c>
      <c r="Q37" s="2">
        <v>6246</v>
      </c>
      <c r="S37" s="2" t="s">
        <v>791</v>
      </c>
    </row>
    <row r="38" spans="1:19" x14ac:dyDescent="0.3">
      <c r="A38" s="6" t="s">
        <v>341</v>
      </c>
      <c r="B38" s="6" t="s">
        <v>195</v>
      </c>
      <c r="C38" s="48">
        <v>16</v>
      </c>
      <c r="D38" s="6"/>
      <c r="E38" s="7" t="s">
        <v>162</v>
      </c>
      <c r="F38" s="7" t="s">
        <v>52</v>
      </c>
      <c r="G38" s="12" t="s">
        <v>170</v>
      </c>
      <c r="H38" s="13"/>
      <c r="I38" s="44">
        <v>120.49</v>
      </c>
      <c r="J38" s="12" t="s">
        <v>182</v>
      </c>
      <c r="K38" s="7"/>
      <c r="L38" s="7" t="s">
        <v>168</v>
      </c>
      <c r="M38" s="7" t="s">
        <v>362</v>
      </c>
      <c r="N38" s="45">
        <v>43914</v>
      </c>
      <c r="P38" t="s">
        <v>705</v>
      </c>
      <c r="Q38" s="2">
        <v>6246</v>
      </c>
      <c r="S38" s="2" t="s">
        <v>791</v>
      </c>
    </row>
    <row r="39" spans="1:19" x14ac:dyDescent="0.3">
      <c r="A39" s="6" t="s">
        <v>211</v>
      </c>
      <c r="B39" s="6" t="s">
        <v>195</v>
      </c>
      <c r="C39" s="48">
        <v>8</v>
      </c>
      <c r="D39" s="6" t="s">
        <v>344</v>
      </c>
      <c r="E39" s="7" t="s">
        <v>162</v>
      </c>
      <c r="F39" s="7" t="s">
        <v>52</v>
      </c>
      <c r="G39" s="12" t="s">
        <v>171</v>
      </c>
      <c r="H39" s="13"/>
      <c r="I39" s="44">
        <v>9.9600000000000009</v>
      </c>
      <c r="J39" s="12" t="s">
        <v>182</v>
      </c>
      <c r="K39" s="7"/>
      <c r="L39" s="7" t="s">
        <v>168</v>
      </c>
      <c r="M39" s="7" t="s">
        <v>362</v>
      </c>
      <c r="N39" s="45">
        <v>43916</v>
      </c>
      <c r="P39" t="s">
        <v>705</v>
      </c>
      <c r="Q39" s="2">
        <v>6246</v>
      </c>
      <c r="S39" s="2" t="s">
        <v>791</v>
      </c>
    </row>
    <row r="40" spans="1:19" x14ac:dyDescent="0.3">
      <c r="A40" s="6" t="s">
        <v>196</v>
      </c>
      <c r="B40" s="6" t="s">
        <v>195</v>
      </c>
      <c r="C40" s="43" t="s">
        <v>197</v>
      </c>
      <c r="D40" s="6" t="s">
        <v>198</v>
      </c>
      <c r="E40" s="7" t="s">
        <v>162</v>
      </c>
      <c r="F40" s="7" t="s">
        <v>52</v>
      </c>
      <c r="G40" s="12" t="s">
        <v>199</v>
      </c>
      <c r="H40" s="13"/>
      <c r="I40" s="44">
        <v>168.2</v>
      </c>
      <c r="J40" s="12" t="s">
        <v>182</v>
      </c>
      <c r="K40" s="7"/>
      <c r="L40" s="7" t="s">
        <v>168</v>
      </c>
      <c r="M40" s="7" t="s">
        <v>362</v>
      </c>
      <c r="N40" s="45">
        <v>43921</v>
      </c>
      <c r="P40" t="s">
        <v>705</v>
      </c>
      <c r="Q40" s="2">
        <v>6246</v>
      </c>
      <c r="S40" s="2" t="s">
        <v>791</v>
      </c>
    </row>
    <row r="41" spans="1:19" x14ac:dyDescent="0.3">
      <c r="A41" s="6" t="s">
        <v>345</v>
      </c>
      <c r="B41" s="6" t="s">
        <v>195</v>
      </c>
      <c r="C41" s="48" t="s">
        <v>197</v>
      </c>
      <c r="D41" s="6" t="s">
        <v>346</v>
      </c>
      <c r="E41" s="7" t="s">
        <v>162</v>
      </c>
      <c r="F41" s="7" t="s">
        <v>52</v>
      </c>
      <c r="G41" s="12" t="s">
        <v>169</v>
      </c>
      <c r="H41" s="44"/>
      <c r="I41" s="44">
        <v>59.44</v>
      </c>
      <c r="J41" s="12" t="s">
        <v>182</v>
      </c>
      <c r="K41" s="7"/>
      <c r="L41" s="7" t="s">
        <v>168</v>
      </c>
      <c r="M41" s="7" t="s">
        <v>362</v>
      </c>
      <c r="N41" s="45">
        <v>43920</v>
      </c>
      <c r="P41" t="s">
        <v>705</v>
      </c>
      <c r="Q41" s="2">
        <v>6246</v>
      </c>
      <c r="S41" s="2" t="s">
        <v>791</v>
      </c>
    </row>
    <row r="42" spans="1:19" x14ac:dyDescent="0.3">
      <c r="A42" s="6" t="s">
        <v>191</v>
      </c>
      <c r="B42" s="6" t="s">
        <v>195</v>
      </c>
      <c r="C42" s="43" t="s">
        <v>192</v>
      </c>
      <c r="D42" s="6" t="s">
        <v>193</v>
      </c>
      <c r="E42" s="7" t="s">
        <v>162</v>
      </c>
      <c r="F42" s="7" t="s">
        <v>52</v>
      </c>
      <c r="G42" s="12" t="s">
        <v>194</v>
      </c>
      <c r="H42" s="13"/>
      <c r="I42" s="44">
        <v>79.97</v>
      </c>
      <c r="J42" s="12" t="s">
        <v>182</v>
      </c>
      <c r="K42" s="7"/>
      <c r="L42" s="7" t="s">
        <v>168</v>
      </c>
      <c r="M42" s="7" t="s">
        <v>362</v>
      </c>
      <c r="N42" s="45">
        <v>43923</v>
      </c>
      <c r="P42" t="s">
        <v>705</v>
      </c>
      <c r="Q42" s="2">
        <v>6246</v>
      </c>
      <c r="S42" s="2" t="s">
        <v>791</v>
      </c>
    </row>
    <row r="43" spans="1:19" x14ac:dyDescent="0.3">
      <c r="A43" s="6" t="s">
        <v>160</v>
      </c>
      <c r="B43" s="6" t="s">
        <v>161</v>
      </c>
      <c r="C43" s="21">
        <v>2</v>
      </c>
      <c r="D43" s="6"/>
      <c r="E43" s="7" t="s">
        <v>162</v>
      </c>
      <c r="F43" s="7" t="s">
        <v>52</v>
      </c>
      <c r="G43" s="12" t="s">
        <v>163</v>
      </c>
      <c r="H43" s="13"/>
      <c r="I43" s="44">
        <v>181.28</v>
      </c>
      <c r="J43" s="12" t="s">
        <v>164</v>
      </c>
      <c r="K43" s="15">
        <v>43938</v>
      </c>
      <c r="L43" s="7">
        <v>237722</v>
      </c>
      <c r="M43" s="7" t="s">
        <v>362</v>
      </c>
      <c r="O43" t="s">
        <v>290</v>
      </c>
      <c r="P43" t="s">
        <v>705</v>
      </c>
      <c r="Q43" s="2">
        <v>6246</v>
      </c>
      <c r="S43" s="2" t="s">
        <v>791</v>
      </c>
    </row>
    <row r="44" spans="1:19" x14ac:dyDescent="0.3">
      <c r="A44" s="6" t="s">
        <v>336</v>
      </c>
      <c r="B44" s="6" t="s">
        <v>195</v>
      </c>
      <c r="C44" s="43">
        <v>4</v>
      </c>
      <c r="D44" s="6" t="s">
        <v>337</v>
      </c>
      <c r="E44" s="7" t="s">
        <v>162</v>
      </c>
      <c r="F44" s="7" t="s">
        <v>52</v>
      </c>
      <c r="G44" s="12" t="s">
        <v>194</v>
      </c>
      <c r="H44" s="13"/>
      <c r="I44" s="44">
        <v>343.79</v>
      </c>
      <c r="J44" s="12" t="s">
        <v>182</v>
      </c>
      <c r="K44" s="7"/>
      <c r="L44" s="7" t="s">
        <v>168</v>
      </c>
      <c r="M44" s="7" t="s">
        <v>362</v>
      </c>
      <c r="N44" s="45">
        <v>43929</v>
      </c>
      <c r="P44" t="s">
        <v>705</v>
      </c>
      <c r="Q44" s="2">
        <v>6246</v>
      </c>
      <c r="S44" s="2" t="s">
        <v>791</v>
      </c>
    </row>
    <row r="45" spans="1:19" x14ac:dyDescent="0.3">
      <c r="A45" s="6" t="s">
        <v>196</v>
      </c>
      <c r="B45" s="6" t="s">
        <v>195</v>
      </c>
      <c r="C45" s="43" t="s">
        <v>273</v>
      </c>
      <c r="D45" s="6" t="s">
        <v>274</v>
      </c>
      <c r="E45" s="7" t="s">
        <v>162</v>
      </c>
      <c r="F45" s="7" t="s">
        <v>52</v>
      </c>
      <c r="G45" s="12" t="s">
        <v>199</v>
      </c>
      <c r="H45" s="13"/>
      <c r="I45" s="44">
        <v>147.4</v>
      </c>
      <c r="J45" s="12" t="s">
        <v>182</v>
      </c>
      <c r="K45" s="7"/>
      <c r="L45" s="7" t="s">
        <v>168</v>
      </c>
      <c r="M45" s="7" t="s">
        <v>362</v>
      </c>
      <c r="N45" s="45">
        <v>43941</v>
      </c>
      <c r="P45" t="s">
        <v>705</v>
      </c>
      <c r="Q45" s="2">
        <v>6246</v>
      </c>
      <c r="S45" s="2" t="s">
        <v>791</v>
      </c>
    </row>
    <row r="46" spans="1:19" x14ac:dyDescent="0.3">
      <c r="A46" s="6" t="s">
        <v>275</v>
      </c>
      <c r="B46" s="6" t="s">
        <v>195</v>
      </c>
      <c r="C46" s="43" t="s">
        <v>205</v>
      </c>
      <c r="D46" s="6" t="s">
        <v>276</v>
      </c>
      <c r="E46" s="7" t="s">
        <v>162</v>
      </c>
      <c r="F46" s="7" t="s">
        <v>52</v>
      </c>
      <c r="G46" s="12" t="s">
        <v>199</v>
      </c>
      <c r="H46" s="13"/>
      <c r="I46" s="44">
        <v>161</v>
      </c>
      <c r="J46" s="12" t="s">
        <v>182</v>
      </c>
      <c r="K46" s="7"/>
      <c r="L46" s="7" t="s">
        <v>168</v>
      </c>
      <c r="M46" s="7" t="s">
        <v>362</v>
      </c>
      <c r="N46" s="45">
        <v>43941</v>
      </c>
      <c r="P46" t="s">
        <v>705</v>
      </c>
      <c r="Q46" s="2">
        <v>6246</v>
      </c>
      <c r="S46" s="2" t="s">
        <v>791</v>
      </c>
    </row>
    <row r="47" spans="1:19" x14ac:dyDescent="0.3">
      <c r="A47" s="6" t="s">
        <v>236</v>
      </c>
      <c r="B47" s="6" t="s">
        <v>195</v>
      </c>
      <c r="C47" s="43">
        <v>10</v>
      </c>
      <c r="D47" s="6" t="s">
        <v>277</v>
      </c>
      <c r="E47" s="7" t="s">
        <v>162</v>
      </c>
      <c r="F47" s="7" t="s">
        <v>52</v>
      </c>
      <c r="G47" s="12" t="s">
        <v>169</v>
      </c>
      <c r="H47" s="13"/>
      <c r="I47" s="44">
        <v>238.3</v>
      </c>
      <c r="J47" s="12" t="s">
        <v>182</v>
      </c>
      <c r="K47" s="7"/>
      <c r="L47" s="7" t="s">
        <v>168</v>
      </c>
      <c r="M47" s="7" t="s">
        <v>362</v>
      </c>
      <c r="N47" s="45">
        <v>43942</v>
      </c>
      <c r="P47" t="s">
        <v>705</v>
      </c>
      <c r="Q47" s="2">
        <v>6246</v>
      </c>
      <c r="S47" s="2" t="s">
        <v>791</v>
      </c>
    </row>
    <row r="48" spans="1:19" x14ac:dyDescent="0.3">
      <c r="A48" s="6" t="s">
        <v>191</v>
      </c>
      <c r="B48" s="6" t="s">
        <v>195</v>
      </c>
      <c r="C48" s="43">
        <v>4</v>
      </c>
      <c r="D48" s="6" t="s">
        <v>414</v>
      </c>
      <c r="E48" s="7" t="s">
        <v>162</v>
      </c>
      <c r="F48" s="7" t="s">
        <v>52</v>
      </c>
      <c r="G48" s="12" t="s">
        <v>199</v>
      </c>
      <c r="H48" s="13"/>
      <c r="I48" s="44">
        <v>80</v>
      </c>
      <c r="J48" s="12" t="s">
        <v>182</v>
      </c>
      <c r="K48" s="7"/>
      <c r="L48" s="7" t="s">
        <v>168</v>
      </c>
      <c r="M48" s="7" t="s">
        <v>362</v>
      </c>
      <c r="N48" s="50">
        <v>43963</v>
      </c>
      <c r="P48" t="s">
        <v>705</v>
      </c>
      <c r="Q48" s="2">
        <v>6246</v>
      </c>
      <c r="S48" s="2" t="s">
        <v>791</v>
      </c>
    </row>
    <row r="49" spans="1:19" x14ac:dyDescent="0.3">
      <c r="A49" s="6" t="s">
        <v>191</v>
      </c>
      <c r="B49" s="6" t="s">
        <v>195</v>
      </c>
      <c r="C49" s="43">
        <v>8</v>
      </c>
      <c r="D49" s="6" t="s">
        <v>417</v>
      </c>
      <c r="E49" s="7" t="s">
        <v>162</v>
      </c>
      <c r="F49" s="7" t="s">
        <v>52</v>
      </c>
      <c r="G49" s="12" t="s">
        <v>262</v>
      </c>
      <c r="H49" s="13"/>
      <c r="I49" s="44">
        <v>229.68</v>
      </c>
      <c r="J49" s="12" t="s">
        <v>182</v>
      </c>
      <c r="K49" s="7"/>
      <c r="L49" s="7" t="s">
        <v>168</v>
      </c>
      <c r="M49" s="7" t="s">
        <v>362</v>
      </c>
      <c r="N49" s="50">
        <v>43965</v>
      </c>
      <c r="P49" t="s">
        <v>705</v>
      </c>
      <c r="Q49" s="2">
        <v>6246</v>
      </c>
      <c r="S49" s="2" t="s">
        <v>791</v>
      </c>
    </row>
    <row r="50" spans="1:19" x14ac:dyDescent="0.3">
      <c r="A50" s="6" t="s">
        <v>502</v>
      </c>
      <c r="B50" s="6" t="s">
        <v>195</v>
      </c>
      <c r="C50" s="43">
        <v>12</v>
      </c>
      <c r="D50" s="6" t="s">
        <v>503</v>
      </c>
      <c r="E50" s="7" t="s">
        <v>162</v>
      </c>
      <c r="F50" s="7" t="s">
        <v>52</v>
      </c>
      <c r="G50" s="12" t="s">
        <v>504</v>
      </c>
      <c r="H50" s="13"/>
      <c r="I50" s="44">
        <v>173.88</v>
      </c>
      <c r="J50" s="12" t="s">
        <v>182</v>
      </c>
      <c r="K50" s="7"/>
      <c r="L50" s="7" t="s">
        <v>168</v>
      </c>
      <c r="M50" s="7" t="s">
        <v>362</v>
      </c>
      <c r="N50" s="50">
        <v>43993</v>
      </c>
      <c r="P50" t="s">
        <v>705</v>
      </c>
      <c r="Q50" s="2">
        <v>6246</v>
      </c>
      <c r="S50" s="2" t="s">
        <v>791</v>
      </c>
    </row>
    <row r="51" spans="1:19" x14ac:dyDescent="0.3">
      <c r="A51" s="6" t="s">
        <v>591</v>
      </c>
      <c r="B51" s="6" t="s">
        <v>195</v>
      </c>
      <c r="C51" s="43">
        <v>2</v>
      </c>
      <c r="D51" s="6" t="s">
        <v>590</v>
      </c>
      <c r="E51" s="7" t="s">
        <v>162</v>
      </c>
      <c r="F51" s="7" t="s">
        <v>52</v>
      </c>
      <c r="G51" s="12" t="s">
        <v>589</v>
      </c>
      <c r="H51" s="13"/>
      <c r="I51" s="44">
        <v>157.06</v>
      </c>
      <c r="J51" s="12" t="s">
        <v>182</v>
      </c>
      <c r="K51" s="7"/>
      <c r="L51" s="7" t="s">
        <v>168</v>
      </c>
      <c r="M51" s="7" t="s">
        <v>362</v>
      </c>
      <c r="N51" s="50">
        <v>44008</v>
      </c>
      <c r="P51" t="s">
        <v>705</v>
      </c>
      <c r="Q51" s="2">
        <v>6246</v>
      </c>
      <c r="S51" s="2" t="s">
        <v>791</v>
      </c>
    </row>
    <row r="52" spans="1:19" x14ac:dyDescent="0.3">
      <c r="A52" s="6" t="s">
        <v>613</v>
      </c>
      <c r="B52" s="6" t="s">
        <v>195</v>
      </c>
      <c r="C52" s="43">
        <v>10</v>
      </c>
      <c r="D52" s="6" t="s">
        <v>614</v>
      </c>
      <c r="E52" s="7" t="s">
        <v>162</v>
      </c>
      <c r="F52" s="7" t="s">
        <v>52</v>
      </c>
      <c r="G52" s="12" t="s">
        <v>675</v>
      </c>
      <c r="H52" s="13"/>
      <c r="I52" s="44">
        <v>250</v>
      </c>
      <c r="J52" s="12" t="s">
        <v>182</v>
      </c>
      <c r="K52" s="7"/>
      <c r="L52" s="7" t="s">
        <v>168</v>
      </c>
      <c r="M52" s="7" t="s">
        <v>362</v>
      </c>
      <c r="N52" s="45">
        <v>44026</v>
      </c>
      <c r="P52" t="s">
        <v>705</v>
      </c>
      <c r="Q52" s="2">
        <v>6299</v>
      </c>
      <c r="S52" s="2" t="s">
        <v>791</v>
      </c>
    </row>
    <row r="53" spans="1:19" x14ac:dyDescent="0.3">
      <c r="A53" s="6" t="s">
        <v>191</v>
      </c>
      <c r="B53" s="6" t="s">
        <v>195</v>
      </c>
      <c r="C53" s="43">
        <v>1</v>
      </c>
      <c r="D53" s="6" t="s">
        <v>660</v>
      </c>
      <c r="E53" s="7" t="s">
        <v>162</v>
      </c>
      <c r="F53" s="7" t="s">
        <v>52</v>
      </c>
      <c r="G53" s="12" t="s">
        <v>262</v>
      </c>
      <c r="H53" s="13"/>
      <c r="I53" s="44">
        <v>119.95</v>
      </c>
      <c r="J53" s="12" t="s">
        <v>182</v>
      </c>
      <c r="K53" s="7"/>
      <c r="L53" s="7" t="s">
        <v>168</v>
      </c>
      <c r="M53" s="7" t="s">
        <v>362</v>
      </c>
      <c r="N53" s="45">
        <v>44047</v>
      </c>
      <c r="P53" t="s">
        <v>705</v>
      </c>
      <c r="Q53" s="2">
        <v>6246</v>
      </c>
      <c r="S53" s="2" t="s">
        <v>791</v>
      </c>
    </row>
    <row r="54" spans="1:19" x14ac:dyDescent="0.3">
      <c r="A54" s="6" t="s">
        <v>191</v>
      </c>
      <c r="B54" s="6" t="s">
        <v>195</v>
      </c>
      <c r="C54" s="43">
        <v>5</v>
      </c>
      <c r="D54" s="6" t="s">
        <v>661</v>
      </c>
      <c r="E54" s="7" t="s">
        <v>162</v>
      </c>
      <c r="F54" s="7" t="s">
        <v>52</v>
      </c>
      <c r="G54" s="12" t="s">
        <v>262</v>
      </c>
      <c r="H54" s="13"/>
      <c r="I54" s="44">
        <v>197.45</v>
      </c>
      <c r="J54" s="12" t="s">
        <v>182</v>
      </c>
      <c r="K54" s="7"/>
      <c r="L54" s="7" t="s">
        <v>168</v>
      </c>
      <c r="M54" s="7" t="s">
        <v>362</v>
      </c>
      <c r="N54" s="45">
        <v>44047</v>
      </c>
      <c r="Q54"/>
    </row>
    <row r="55" spans="1:19" x14ac:dyDescent="0.3">
      <c r="A55" s="148" t="s">
        <v>756</v>
      </c>
      <c r="B55" s="148" t="s">
        <v>753</v>
      </c>
      <c r="C55" s="149"/>
      <c r="D55" s="148"/>
      <c r="E55" s="150" t="s">
        <v>162</v>
      </c>
      <c r="F55" s="150"/>
      <c r="G55" s="151"/>
      <c r="H55" s="152"/>
      <c r="I55" s="152">
        <v>-250</v>
      </c>
      <c r="J55" s="151" t="s">
        <v>749</v>
      </c>
      <c r="K55" s="150"/>
      <c r="L55" s="150" t="s">
        <v>750</v>
      </c>
      <c r="M55" s="150"/>
      <c r="N55" s="157"/>
      <c r="O55" s="158"/>
      <c r="P55" s="158"/>
      <c r="Q55" s="158"/>
      <c r="R55" s="158"/>
      <c r="S55" s="159" t="s">
        <v>798</v>
      </c>
    </row>
    <row r="56" spans="1:19" x14ac:dyDescent="0.3">
      <c r="A56" s="148" t="s">
        <v>752</v>
      </c>
      <c r="B56" s="148" t="s">
        <v>753</v>
      </c>
      <c r="C56" s="149"/>
      <c r="D56" s="148"/>
      <c r="E56" s="150" t="s">
        <v>162</v>
      </c>
      <c r="F56" s="150"/>
      <c r="G56" s="151"/>
      <c r="H56" s="152"/>
      <c r="I56" s="152">
        <v>-6445.91</v>
      </c>
      <c r="J56" s="151" t="s">
        <v>749</v>
      </c>
      <c r="K56" s="150"/>
      <c r="L56" s="150" t="s">
        <v>750</v>
      </c>
      <c r="M56" s="150"/>
      <c r="N56" s="157"/>
      <c r="O56" s="158"/>
      <c r="P56" s="158"/>
      <c r="Q56" s="158"/>
      <c r="R56" s="158"/>
      <c r="S56" s="159" t="s">
        <v>798</v>
      </c>
    </row>
    <row r="57" spans="1:19" x14ac:dyDescent="0.3">
      <c r="A57" s="6" t="s">
        <v>250</v>
      </c>
      <c r="B57" s="6" t="s">
        <v>13</v>
      </c>
      <c r="C57" s="43">
        <v>1</v>
      </c>
      <c r="D57" s="6"/>
      <c r="E57" s="7" t="s">
        <v>172</v>
      </c>
      <c r="F57" s="7" t="s">
        <v>52</v>
      </c>
      <c r="G57" s="12" t="s">
        <v>169</v>
      </c>
      <c r="H57" s="13"/>
      <c r="I57" s="44">
        <v>14.97</v>
      </c>
      <c r="J57" s="12" t="s">
        <v>251</v>
      </c>
      <c r="K57" s="7"/>
      <c r="L57" s="7" t="s">
        <v>168</v>
      </c>
      <c r="M57" s="7" t="s">
        <v>362</v>
      </c>
      <c r="N57" s="45">
        <v>43925</v>
      </c>
      <c r="P57" t="s">
        <v>705</v>
      </c>
      <c r="Q57" s="2">
        <v>6245</v>
      </c>
      <c r="S57" s="2" t="s">
        <v>791</v>
      </c>
    </row>
    <row r="58" spans="1:19" x14ac:dyDescent="0.3">
      <c r="A58" s="6" t="s">
        <v>282</v>
      </c>
      <c r="B58" s="6" t="s">
        <v>280</v>
      </c>
      <c r="C58" s="43">
        <v>1</v>
      </c>
      <c r="D58" s="6" t="s">
        <v>285</v>
      </c>
      <c r="E58" s="7" t="s">
        <v>172</v>
      </c>
      <c r="F58" s="7" t="s">
        <v>52</v>
      </c>
      <c r="G58" s="12" t="s">
        <v>214</v>
      </c>
      <c r="H58" s="13"/>
      <c r="I58" s="44">
        <v>10.49</v>
      </c>
      <c r="J58" s="12" t="s">
        <v>284</v>
      </c>
      <c r="K58" s="7"/>
      <c r="L58" s="7" t="s">
        <v>168</v>
      </c>
      <c r="M58" s="7" t="s">
        <v>362</v>
      </c>
      <c r="N58" s="45">
        <v>43902</v>
      </c>
      <c r="P58" t="s">
        <v>705</v>
      </c>
      <c r="Q58" s="2">
        <v>6246</v>
      </c>
      <c r="S58" s="2" t="s">
        <v>791</v>
      </c>
    </row>
    <row r="59" spans="1:19" x14ac:dyDescent="0.3">
      <c r="A59" s="6" t="s">
        <v>286</v>
      </c>
      <c r="B59" s="6" t="s">
        <v>280</v>
      </c>
      <c r="C59" s="43">
        <v>2</v>
      </c>
      <c r="D59" s="6" t="s">
        <v>287</v>
      </c>
      <c r="E59" s="7" t="s">
        <v>172</v>
      </c>
      <c r="F59" s="7" t="s">
        <v>52</v>
      </c>
      <c r="G59" s="12" t="s">
        <v>171</v>
      </c>
      <c r="H59" s="13"/>
      <c r="I59" s="44">
        <v>6.98</v>
      </c>
      <c r="J59" s="12" t="s">
        <v>288</v>
      </c>
      <c r="K59" s="7"/>
      <c r="L59" s="7" t="s">
        <v>168</v>
      </c>
      <c r="M59" s="7" t="s">
        <v>362</v>
      </c>
      <c r="N59" s="45">
        <v>43913</v>
      </c>
      <c r="P59" t="s">
        <v>705</v>
      </c>
      <c r="Q59" s="2">
        <v>6246</v>
      </c>
      <c r="S59" s="2" t="s">
        <v>791</v>
      </c>
    </row>
    <row r="60" spans="1:19" x14ac:dyDescent="0.3">
      <c r="A60" s="6" t="s">
        <v>537</v>
      </c>
      <c r="B60" s="6" t="s">
        <v>280</v>
      </c>
      <c r="C60" s="43" t="s">
        <v>538</v>
      </c>
      <c r="D60" s="6" t="s">
        <v>539</v>
      </c>
      <c r="E60" s="7" t="s">
        <v>172</v>
      </c>
      <c r="F60" s="7" t="s">
        <v>52</v>
      </c>
      <c r="G60" s="12" t="s">
        <v>169</v>
      </c>
      <c r="H60" s="13"/>
      <c r="I60" s="44">
        <v>31.02</v>
      </c>
      <c r="J60" s="12" t="s">
        <v>536</v>
      </c>
      <c r="K60" s="7"/>
      <c r="L60" s="7" t="s">
        <v>168</v>
      </c>
      <c r="M60" s="7" t="s">
        <v>362</v>
      </c>
      <c r="N60" s="50">
        <v>43972</v>
      </c>
      <c r="P60" t="s">
        <v>705</v>
      </c>
      <c r="Q60" s="2">
        <v>6245</v>
      </c>
      <c r="S60" s="2" t="s">
        <v>791</v>
      </c>
    </row>
    <row r="61" spans="1:19" x14ac:dyDescent="0.3">
      <c r="A61" s="6" t="s">
        <v>551</v>
      </c>
      <c r="B61" s="6" t="s">
        <v>195</v>
      </c>
      <c r="C61" s="48">
        <v>1</v>
      </c>
      <c r="D61" s="6" t="s">
        <v>552</v>
      </c>
      <c r="E61" s="7" t="s">
        <v>172</v>
      </c>
      <c r="F61" s="7" t="s">
        <v>52</v>
      </c>
      <c r="G61" s="12" t="s">
        <v>527</v>
      </c>
      <c r="H61" s="13"/>
      <c r="I61" s="44">
        <v>903.89</v>
      </c>
      <c r="J61" s="12" t="s">
        <v>182</v>
      </c>
      <c r="K61" s="7"/>
      <c r="L61" s="7" t="s">
        <v>168</v>
      </c>
      <c r="M61" s="7" t="s">
        <v>362</v>
      </c>
      <c r="N61" s="45">
        <v>43979</v>
      </c>
      <c r="P61" t="s">
        <v>705</v>
      </c>
      <c r="Q61" s="2">
        <v>6246</v>
      </c>
      <c r="S61" s="2" t="s">
        <v>791</v>
      </c>
    </row>
    <row r="62" spans="1:19" x14ac:dyDescent="0.3">
      <c r="A62" s="6" t="s">
        <v>553</v>
      </c>
      <c r="B62" s="6" t="s">
        <v>195</v>
      </c>
      <c r="C62" s="48">
        <v>1</v>
      </c>
      <c r="D62" s="6"/>
      <c r="E62" s="7" t="s">
        <v>172</v>
      </c>
      <c r="F62" s="7" t="s">
        <v>52</v>
      </c>
      <c r="G62" s="12" t="s">
        <v>527</v>
      </c>
      <c r="H62" s="13"/>
      <c r="I62" s="44">
        <v>159.9</v>
      </c>
      <c r="J62" s="12" t="s">
        <v>182</v>
      </c>
      <c r="K62" s="7"/>
      <c r="L62" s="7" t="s">
        <v>168</v>
      </c>
      <c r="M62" s="7" t="s">
        <v>362</v>
      </c>
      <c r="N62" s="45">
        <v>43986</v>
      </c>
      <c r="P62" t="s">
        <v>705</v>
      </c>
      <c r="Q62" s="2">
        <v>6246</v>
      </c>
      <c r="S62" s="2" t="s">
        <v>791</v>
      </c>
    </row>
    <row r="63" spans="1:19" x14ac:dyDescent="0.3">
      <c r="A63" s="148" t="s">
        <v>756</v>
      </c>
      <c r="B63" s="148" t="s">
        <v>753</v>
      </c>
      <c r="C63" s="149"/>
      <c r="D63" s="148"/>
      <c r="E63" s="150" t="s">
        <v>172</v>
      </c>
      <c r="F63" s="150"/>
      <c r="G63" s="151"/>
      <c r="H63" s="152"/>
      <c r="I63" s="152">
        <v>4206.16</v>
      </c>
      <c r="J63" s="151" t="s">
        <v>749</v>
      </c>
      <c r="K63" s="150"/>
      <c r="L63" s="150" t="s">
        <v>750</v>
      </c>
      <c r="M63" s="150"/>
      <c r="N63" s="157"/>
      <c r="O63" s="158"/>
      <c r="P63" s="158"/>
      <c r="Q63" s="158"/>
      <c r="R63" s="158"/>
      <c r="S63" s="159" t="s">
        <v>798</v>
      </c>
    </row>
    <row r="64" spans="1:19" x14ac:dyDescent="0.3">
      <c r="A64" s="148" t="s">
        <v>756</v>
      </c>
      <c r="B64" s="148" t="s">
        <v>753</v>
      </c>
      <c r="C64" s="149"/>
      <c r="D64" s="148"/>
      <c r="E64" s="150" t="s">
        <v>172</v>
      </c>
      <c r="F64" s="150"/>
      <c r="G64" s="151"/>
      <c r="H64" s="152"/>
      <c r="I64" s="152">
        <v>-45.99</v>
      </c>
      <c r="J64" s="151" t="s">
        <v>749</v>
      </c>
      <c r="K64" s="150"/>
      <c r="L64" s="150" t="s">
        <v>750</v>
      </c>
      <c r="M64" s="150"/>
      <c r="N64" s="157"/>
      <c r="O64" s="158"/>
      <c r="P64" s="158"/>
      <c r="Q64" s="158"/>
      <c r="R64" s="158"/>
      <c r="S64" s="159" t="s">
        <v>798</v>
      </c>
    </row>
    <row r="65" spans="1:19" x14ac:dyDescent="0.3">
      <c r="A65" s="148" t="s">
        <v>752</v>
      </c>
      <c r="B65" s="148" t="s">
        <v>753</v>
      </c>
      <c r="C65" s="149"/>
      <c r="D65" s="148"/>
      <c r="E65" s="150" t="s">
        <v>172</v>
      </c>
      <c r="F65" s="150"/>
      <c r="G65" s="151"/>
      <c r="H65" s="152"/>
      <c r="I65" s="152">
        <v>-1081.26</v>
      </c>
      <c r="J65" s="151" t="s">
        <v>749</v>
      </c>
      <c r="K65" s="150"/>
      <c r="L65" s="150" t="s">
        <v>750</v>
      </c>
      <c r="M65" s="150"/>
      <c r="N65" s="157"/>
      <c r="O65" s="158"/>
      <c r="P65" s="158"/>
      <c r="Q65" s="158"/>
      <c r="R65" s="158"/>
      <c r="S65" s="159" t="s">
        <v>798</v>
      </c>
    </row>
    <row r="66" spans="1:19" x14ac:dyDescent="0.3">
      <c r="A66" s="6" t="s">
        <v>16</v>
      </c>
      <c r="B66" s="6" t="s">
        <v>13</v>
      </c>
      <c r="C66" s="7">
        <v>100</v>
      </c>
      <c r="D66" s="6" t="s">
        <v>165</v>
      </c>
      <c r="E66" s="7" t="s">
        <v>54</v>
      </c>
      <c r="F66" s="7">
        <v>22000347</v>
      </c>
      <c r="G66" s="12" t="s">
        <v>12</v>
      </c>
      <c r="H66" s="13">
        <f>3850+106.5-I66-I68</f>
        <v>0</v>
      </c>
      <c r="I66" s="44">
        <f>1963.5+385+1501.5</f>
        <v>3850</v>
      </c>
      <c r="J66" s="12" t="s">
        <v>15</v>
      </c>
      <c r="K66" s="15">
        <v>43938</v>
      </c>
      <c r="L66" s="7">
        <v>237677</v>
      </c>
      <c r="M66" s="7" t="s">
        <v>362</v>
      </c>
      <c r="P66" t="s">
        <v>697</v>
      </c>
      <c r="Q66" s="2">
        <v>6246</v>
      </c>
      <c r="S66" s="2" t="s">
        <v>802</v>
      </c>
    </row>
    <row r="67" spans="1:19" x14ac:dyDescent="0.3">
      <c r="A67" s="6" t="s">
        <v>17</v>
      </c>
      <c r="B67" s="6" t="s">
        <v>13</v>
      </c>
      <c r="C67" s="7">
        <v>100</v>
      </c>
      <c r="D67" s="6"/>
      <c r="E67" s="7" t="s">
        <v>54</v>
      </c>
      <c r="F67" s="7">
        <v>22000347</v>
      </c>
      <c r="G67" s="12" t="s">
        <v>12</v>
      </c>
      <c r="H67" s="13"/>
      <c r="I67" s="44">
        <f>1897</f>
        <v>1897</v>
      </c>
      <c r="J67" s="12" t="s">
        <v>15</v>
      </c>
      <c r="K67" s="15">
        <v>43938</v>
      </c>
      <c r="L67" s="7">
        <v>237982</v>
      </c>
      <c r="M67" s="7" t="s">
        <v>362</v>
      </c>
      <c r="P67" t="s">
        <v>697</v>
      </c>
      <c r="Q67" s="2">
        <v>6246</v>
      </c>
      <c r="S67" s="2" t="s">
        <v>802</v>
      </c>
    </row>
    <row r="68" spans="1:19" x14ac:dyDescent="0.3">
      <c r="A68" s="6" t="s">
        <v>166</v>
      </c>
      <c r="B68" s="6" t="s">
        <v>13</v>
      </c>
      <c r="C68" s="7" t="s">
        <v>52</v>
      </c>
      <c r="D68" s="6"/>
      <c r="E68" s="7" t="s">
        <v>54</v>
      </c>
      <c r="F68" s="7">
        <v>22000347</v>
      </c>
      <c r="G68" s="12" t="s">
        <v>12</v>
      </c>
      <c r="H68" s="13">
        <v>0</v>
      </c>
      <c r="I68" s="44">
        <f>81.84+11.56+13.1</f>
        <v>106.5</v>
      </c>
      <c r="J68" s="12" t="s">
        <v>15</v>
      </c>
      <c r="K68" s="15">
        <v>43938</v>
      </c>
      <c r="L68" s="7">
        <v>237982</v>
      </c>
      <c r="M68" s="7" t="s">
        <v>362</v>
      </c>
      <c r="P68" t="s">
        <v>697</v>
      </c>
      <c r="Q68" s="2">
        <v>6246</v>
      </c>
      <c r="S68" s="2" t="s">
        <v>802</v>
      </c>
    </row>
    <row r="69" spans="1:19" x14ac:dyDescent="0.3">
      <c r="A69" s="6" t="s">
        <v>50</v>
      </c>
      <c r="B69" s="6" t="s">
        <v>46</v>
      </c>
      <c r="C69" s="7" t="s">
        <v>48</v>
      </c>
      <c r="D69" s="6"/>
      <c r="E69" s="7" t="s">
        <v>54</v>
      </c>
      <c r="F69" s="7" t="s">
        <v>52</v>
      </c>
      <c r="G69" s="12" t="s">
        <v>45</v>
      </c>
      <c r="H69" s="13"/>
      <c r="I69" s="44">
        <v>130</v>
      </c>
      <c r="J69" s="12" t="s">
        <v>47</v>
      </c>
      <c r="K69" s="15">
        <v>43924</v>
      </c>
      <c r="L69" s="7">
        <v>237550</v>
      </c>
      <c r="M69" s="7" t="s">
        <v>362</v>
      </c>
      <c r="P69" t="s">
        <v>698</v>
      </c>
      <c r="Q69" s="2">
        <v>6246</v>
      </c>
      <c r="S69" s="2" t="s">
        <v>802</v>
      </c>
    </row>
    <row r="70" spans="1:19" x14ac:dyDescent="0.3">
      <c r="A70" s="6" t="s">
        <v>51</v>
      </c>
      <c r="B70" s="6" t="s">
        <v>46</v>
      </c>
      <c r="C70" s="7" t="s">
        <v>49</v>
      </c>
      <c r="D70" s="6"/>
      <c r="E70" s="7" t="s">
        <v>54</v>
      </c>
      <c r="F70" s="7" t="s">
        <v>52</v>
      </c>
      <c r="G70" s="12" t="s">
        <v>45</v>
      </c>
      <c r="H70" s="13"/>
      <c r="I70" s="44">
        <v>65</v>
      </c>
      <c r="J70" s="12" t="s">
        <v>47</v>
      </c>
      <c r="K70" s="15">
        <v>43924</v>
      </c>
      <c r="L70" s="7">
        <v>237550</v>
      </c>
      <c r="M70" s="7" t="s">
        <v>362</v>
      </c>
      <c r="P70" t="s">
        <v>698</v>
      </c>
      <c r="Q70" s="2">
        <v>6246</v>
      </c>
      <c r="S70" s="2" t="s">
        <v>802</v>
      </c>
    </row>
    <row r="71" spans="1:19" x14ac:dyDescent="0.3">
      <c r="A71" s="6" t="s">
        <v>53</v>
      </c>
      <c r="B71" s="6" t="s">
        <v>46</v>
      </c>
      <c r="C71" s="7" t="s">
        <v>52</v>
      </c>
      <c r="D71" s="6"/>
      <c r="E71" s="7" t="s">
        <v>54</v>
      </c>
      <c r="F71" s="7" t="s">
        <v>52</v>
      </c>
      <c r="G71" s="12" t="s">
        <v>45</v>
      </c>
      <c r="H71" s="13"/>
      <c r="I71" s="44">
        <v>17.739999999999998</v>
      </c>
      <c r="J71" s="12" t="s">
        <v>47</v>
      </c>
      <c r="K71" s="15">
        <v>43924</v>
      </c>
      <c r="L71" s="7">
        <v>237550</v>
      </c>
      <c r="M71" s="7" t="s">
        <v>362</v>
      </c>
      <c r="P71" t="s">
        <v>698</v>
      </c>
      <c r="Q71" s="2">
        <v>6246</v>
      </c>
      <c r="S71" s="2" t="s">
        <v>802</v>
      </c>
    </row>
    <row r="72" spans="1:19" x14ac:dyDescent="0.3">
      <c r="A72" s="6" t="s">
        <v>50</v>
      </c>
      <c r="B72" s="6" t="s">
        <v>46</v>
      </c>
      <c r="C72" s="21" t="s">
        <v>159</v>
      </c>
      <c r="D72" s="6"/>
      <c r="E72" s="7" t="s">
        <v>54</v>
      </c>
      <c r="F72" s="7" t="s">
        <v>52</v>
      </c>
      <c r="G72" s="12" t="s">
        <v>45</v>
      </c>
      <c r="H72" s="13"/>
      <c r="I72" s="44">
        <v>195</v>
      </c>
      <c r="J72" s="12" t="s">
        <v>47</v>
      </c>
      <c r="K72" s="15">
        <v>43931</v>
      </c>
      <c r="L72" s="7">
        <v>237639</v>
      </c>
      <c r="M72" s="7" t="s">
        <v>362</v>
      </c>
      <c r="P72" t="s">
        <v>698</v>
      </c>
      <c r="Q72" s="2">
        <v>6246</v>
      </c>
      <c r="S72" s="2" t="s">
        <v>802</v>
      </c>
    </row>
    <row r="73" spans="1:19" x14ac:dyDescent="0.3">
      <c r="A73" s="6" t="s">
        <v>51</v>
      </c>
      <c r="B73" s="6" t="s">
        <v>46</v>
      </c>
      <c r="C73" s="21" t="s">
        <v>159</v>
      </c>
      <c r="D73" s="6"/>
      <c r="E73" s="7" t="s">
        <v>54</v>
      </c>
      <c r="F73" s="7" t="s">
        <v>52</v>
      </c>
      <c r="G73" s="12" t="s">
        <v>45</v>
      </c>
      <c r="H73" s="13"/>
      <c r="I73" s="44">
        <v>195</v>
      </c>
      <c r="J73" s="12" t="s">
        <v>47</v>
      </c>
      <c r="K73" s="15">
        <v>43931</v>
      </c>
      <c r="L73" s="7">
        <v>237639</v>
      </c>
      <c r="M73" s="7" t="s">
        <v>362</v>
      </c>
      <c r="P73" t="s">
        <v>698</v>
      </c>
      <c r="Q73" s="2">
        <v>6246</v>
      </c>
      <c r="S73" s="2" t="s">
        <v>802</v>
      </c>
    </row>
    <row r="74" spans="1:19" x14ac:dyDescent="0.3">
      <c r="A74" s="6" t="s">
        <v>158</v>
      </c>
      <c r="B74" s="6" t="s">
        <v>46</v>
      </c>
      <c r="C74" s="21" t="s">
        <v>159</v>
      </c>
      <c r="D74" s="6"/>
      <c r="E74" s="7" t="s">
        <v>54</v>
      </c>
      <c r="F74" s="7" t="s">
        <v>52</v>
      </c>
      <c r="G74" s="12" t="s">
        <v>45</v>
      </c>
      <c r="H74" s="13"/>
      <c r="I74" s="44">
        <v>195</v>
      </c>
      <c r="J74" s="12" t="s">
        <v>47</v>
      </c>
      <c r="K74" s="15">
        <v>43931</v>
      </c>
      <c r="L74" s="7">
        <v>237639</v>
      </c>
      <c r="M74" s="7" t="s">
        <v>362</v>
      </c>
      <c r="P74" t="s">
        <v>698</v>
      </c>
      <c r="Q74" s="2">
        <v>6246</v>
      </c>
      <c r="S74" s="2" t="s">
        <v>802</v>
      </c>
    </row>
    <row r="75" spans="1:19" x14ac:dyDescent="0.3">
      <c r="A75" s="6" t="s">
        <v>53</v>
      </c>
      <c r="B75" s="6" t="s">
        <v>46</v>
      </c>
      <c r="C75" s="7" t="s">
        <v>52</v>
      </c>
      <c r="D75" s="6"/>
      <c r="E75" s="7" t="s">
        <v>54</v>
      </c>
      <c r="F75" s="7" t="s">
        <v>52</v>
      </c>
      <c r="G75" s="12" t="s">
        <v>45</v>
      </c>
      <c r="H75" s="13"/>
      <c r="I75" s="44">
        <v>38.380000000000003</v>
      </c>
      <c r="J75" s="12" t="s">
        <v>47</v>
      </c>
      <c r="K75" s="15">
        <v>43931</v>
      </c>
      <c r="L75" s="7">
        <v>237639</v>
      </c>
      <c r="M75" s="7" t="s">
        <v>362</v>
      </c>
      <c r="P75" t="s">
        <v>698</v>
      </c>
      <c r="Q75" s="2">
        <v>6246</v>
      </c>
      <c r="S75" s="2" t="s">
        <v>802</v>
      </c>
    </row>
    <row r="76" spans="1:19" x14ac:dyDescent="0.3">
      <c r="A76" s="6" t="s">
        <v>363</v>
      </c>
      <c r="B76" s="6" t="s">
        <v>46</v>
      </c>
      <c r="C76" s="7" t="s">
        <v>364</v>
      </c>
      <c r="D76" s="6" t="s">
        <v>365</v>
      </c>
      <c r="E76" s="7" t="s">
        <v>54</v>
      </c>
      <c r="F76" s="7" t="s">
        <v>52</v>
      </c>
      <c r="G76" s="12" t="s">
        <v>45</v>
      </c>
      <c r="H76" s="13"/>
      <c r="I76" s="44">
        <v>171.9</v>
      </c>
      <c r="J76" s="12" t="s">
        <v>47</v>
      </c>
      <c r="K76" s="15">
        <v>43973</v>
      </c>
      <c r="L76" s="7">
        <v>238106</v>
      </c>
      <c r="M76" s="7" t="s">
        <v>362</v>
      </c>
      <c r="P76" t="s">
        <v>698</v>
      </c>
      <c r="Q76" s="2">
        <v>6246</v>
      </c>
      <c r="S76" s="2" t="s">
        <v>802</v>
      </c>
    </row>
    <row r="77" spans="1:19" x14ac:dyDescent="0.3">
      <c r="A77" s="6" t="s">
        <v>330</v>
      </c>
      <c r="B77" s="6" t="s">
        <v>13</v>
      </c>
      <c r="C77" s="43">
        <v>2500</v>
      </c>
      <c r="D77" s="6"/>
      <c r="E77" s="7" t="s">
        <v>54</v>
      </c>
      <c r="F77" s="7">
        <v>22000353</v>
      </c>
      <c r="G77" s="12" t="s">
        <v>331</v>
      </c>
      <c r="H77" s="13">
        <v>0</v>
      </c>
      <c r="I77" s="44">
        <v>7500</v>
      </c>
      <c r="J77" s="12" t="s">
        <v>55</v>
      </c>
      <c r="K77" s="15">
        <v>43973</v>
      </c>
      <c r="L77" s="7">
        <v>238068</v>
      </c>
      <c r="M77" s="7" t="s">
        <v>362</v>
      </c>
      <c r="P77" t="s">
        <v>703</v>
      </c>
      <c r="Q77" s="2" t="s">
        <v>801</v>
      </c>
      <c r="R77" t="s">
        <v>738</v>
      </c>
      <c r="S77" s="2" t="s">
        <v>802</v>
      </c>
    </row>
    <row r="78" spans="1:19" x14ac:dyDescent="0.3">
      <c r="A78" s="6" t="s">
        <v>332</v>
      </c>
      <c r="B78" s="6" t="s">
        <v>13</v>
      </c>
      <c r="C78" s="43"/>
      <c r="D78" s="6"/>
      <c r="E78" s="7" t="s">
        <v>54</v>
      </c>
      <c r="F78" s="7">
        <v>22000353</v>
      </c>
      <c r="G78" s="12" t="s">
        <v>331</v>
      </c>
      <c r="H78" s="13">
        <v>0</v>
      </c>
      <c r="I78" s="44"/>
      <c r="J78" s="12" t="s">
        <v>55</v>
      </c>
      <c r="K78" s="7"/>
      <c r="L78" s="7"/>
      <c r="M78" s="7"/>
      <c r="P78" t="s">
        <v>705</v>
      </c>
      <c r="Q78" s="2" t="s">
        <v>737</v>
      </c>
    </row>
    <row r="79" spans="1:19" x14ac:dyDescent="0.3">
      <c r="A79" s="6" t="s">
        <v>179</v>
      </c>
      <c r="B79" s="6" t="s">
        <v>13</v>
      </c>
      <c r="C79" s="43">
        <v>1080</v>
      </c>
      <c r="D79" s="6"/>
      <c r="E79" s="7" t="s">
        <v>54</v>
      </c>
      <c r="F79" s="7">
        <v>22000381</v>
      </c>
      <c r="G79" s="12" t="s">
        <v>57</v>
      </c>
      <c r="H79" s="13">
        <v>0</v>
      </c>
      <c r="I79" s="44">
        <v>7128</v>
      </c>
      <c r="J79" s="12" t="s">
        <v>183</v>
      </c>
      <c r="K79" s="15">
        <v>43987</v>
      </c>
      <c r="L79" s="7">
        <v>238214</v>
      </c>
      <c r="M79" s="7" t="s">
        <v>362</v>
      </c>
      <c r="P79" t="s">
        <v>703</v>
      </c>
      <c r="Q79" s="2">
        <v>6246</v>
      </c>
      <c r="S79" s="2" t="s">
        <v>802</v>
      </c>
    </row>
    <row r="80" spans="1:19" x14ac:dyDescent="0.3">
      <c r="A80" s="6" t="s">
        <v>180</v>
      </c>
      <c r="B80" s="6" t="s">
        <v>13</v>
      </c>
      <c r="C80" s="43">
        <v>5000</v>
      </c>
      <c r="D80" s="6"/>
      <c r="E80" s="7" t="s">
        <v>54</v>
      </c>
      <c r="F80" s="7">
        <v>22000381</v>
      </c>
      <c r="G80" s="12" t="s">
        <v>57</v>
      </c>
      <c r="H80" s="13">
        <v>0</v>
      </c>
      <c r="I80" s="44">
        <v>650</v>
      </c>
      <c r="J80" s="12" t="s">
        <v>183</v>
      </c>
      <c r="K80" s="15">
        <v>43987</v>
      </c>
      <c r="L80" s="7">
        <v>238214</v>
      </c>
      <c r="M80" s="7" t="s">
        <v>362</v>
      </c>
      <c r="P80" t="s">
        <v>700</v>
      </c>
      <c r="Q80" s="2">
        <v>6246</v>
      </c>
      <c r="S80" s="2" t="s">
        <v>802</v>
      </c>
    </row>
    <row r="81" spans="1:19" x14ac:dyDescent="0.3">
      <c r="A81" s="6" t="s">
        <v>181</v>
      </c>
      <c r="B81" s="6" t="s">
        <v>13</v>
      </c>
      <c r="C81" s="43">
        <v>5000</v>
      </c>
      <c r="D81" s="6"/>
      <c r="E81" s="7" t="s">
        <v>54</v>
      </c>
      <c r="F81" s="7">
        <v>22000381</v>
      </c>
      <c r="G81" s="12" t="s">
        <v>57</v>
      </c>
      <c r="H81" s="13">
        <v>0</v>
      </c>
      <c r="I81" s="44">
        <v>2800</v>
      </c>
      <c r="J81" s="12" t="s">
        <v>183</v>
      </c>
      <c r="K81" s="15">
        <v>43987</v>
      </c>
      <c r="L81" s="7">
        <v>238214</v>
      </c>
      <c r="M81" s="7" t="s">
        <v>362</v>
      </c>
      <c r="P81" t="s">
        <v>703</v>
      </c>
      <c r="Q81" s="2">
        <v>6246</v>
      </c>
      <c r="S81" s="2" t="s">
        <v>802</v>
      </c>
    </row>
    <row r="82" spans="1:19" x14ac:dyDescent="0.3">
      <c r="A82" s="6" t="s">
        <v>241</v>
      </c>
      <c r="B82" s="6" t="s">
        <v>13</v>
      </c>
      <c r="C82" s="43">
        <v>2</v>
      </c>
      <c r="D82" s="6" t="s">
        <v>292</v>
      </c>
      <c r="E82" s="7" t="s">
        <v>54</v>
      </c>
      <c r="F82" s="7" t="s">
        <v>52</v>
      </c>
      <c r="G82" s="12" t="s">
        <v>291</v>
      </c>
      <c r="H82" s="13"/>
      <c r="I82" s="44">
        <v>99.96</v>
      </c>
      <c r="J82" s="12" t="s">
        <v>243</v>
      </c>
      <c r="K82" s="15">
        <v>43952</v>
      </c>
      <c r="L82" s="7">
        <v>237862</v>
      </c>
      <c r="M82" s="7" t="s">
        <v>362</v>
      </c>
      <c r="P82" t="s">
        <v>695</v>
      </c>
      <c r="Q82" s="2">
        <v>6246</v>
      </c>
      <c r="S82" s="2" t="s">
        <v>802</v>
      </c>
    </row>
    <row r="83" spans="1:19" x14ac:dyDescent="0.3">
      <c r="A83" s="6" t="s">
        <v>186</v>
      </c>
      <c r="B83" s="6" t="s">
        <v>13</v>
      </c>
      <c r="C83" s="43">
        <v>8</v>
      </c>
      <c r="D83" s="6" t="s">
        <v>185</v>
      </c>
      <c r="E83" s="7" t="s">
        <v>54</v>
      </c>
      <c r="F83" s="7" t="s">
        <v>52</v>
      </c>
      <c r="G83" s="12" t="s">
        <v>184</v>
      </c>
      <c r="H83" s="13"/>
      <c r="I83" s="44">
        <v>229.76</v>
      </c>
      <c r="J83" s="12" t="s">
        <v>243</v>
      </c>
      <c r="K83" s="15">
        <v>43952</v>
      </c>
      <c r="L83" s="7">
        <v>237847</v>
      </c>
      <c r="M83" s="7" t="s">
        <v>362</v>
      </c>
      <c r="P83" t="s">
        <v>699</v>
      </c>
      <c r="Q83" s="2">
        <v>6246</v>
      </c>
      <c r="S83" s="2" t="s">
        <v>802</v>
      </c>
    </row>
    <row r="84" spans="1:19" x14ac:dyDescent="0.3">
      <c r="A84" s="6" t="s">
        <v>58</v>
      </c>
      <c r="B84" s="6" t="s">
        <v>13</v>
      </c>
      <c r="C84" s="21">
        <v>1000</v>
      </c>
      <c r="D84" s="6"/>
      <c r="E84" s="7" t="s">
        <v>54</v>
      </c>
      <c r="F84" s="7">
        <v>22000355</v>
      </c>
      <c r="G84" s="12" t="s">
        <v>57</v>
      </c>
      <c r="H84" s="44">
        <v>0</v>
      </c>
      <c r="I84" s="44">
        <v>3600</v>
      </c>
      <c r="J84" s="12" t="s">
        <v>56</v>
      </c>
      <c r="K84" s="15">
        <v>43966</v>
      </c>
      <c r="L84" s="7">
        <v>237980</v>
      </c>
      <c r="M84" s="7" t="s">
        <v>362</v>
      </c>
      <c r="P84" t="s">
        <v>703</v>
      </c>
      <c r="Q84" s="2">
        <v>6246</v>
      </c>
      <c r="S84" s="2" t="s">
        <v>802</v>
      </c>
    </row>
    <row r="85" spans="1:19" x14ac:dyDescent="0.3">
      <c r="A85" s="6" t="s">
        <v>59</v>
      </c>
      <c r="B85" s="6" t="s">
        <v>13</v>
      </c>
      <c r="C85" s="21">
        <v>5000</v>
      </c>
      <c r="D85" s="6"/>
      <c r="E85" s="7" t="s">
        <v>54</v>
      </c>
      <c r="F85" s="7">
        <v>22000355</v>
      </c>
      <c r="G85" s="12" t="s">
        <v>57</v>
      </c>
      <c r="H85" s="44">
        <v>0</v>
      </c>
      <c r="I85" s="44">
        <v>2850</v>
      </c>
      <c r="J85" s="12" t="s">
        <v>56</v>
      </c>
      <c r="K85" s="15">
        <v>43966</v>
      </c>
      <c r="L85" s="7">
        <v>237980</v>
      </c>
      <c r="M85" s="7" t="s">
        <v>362</v>
      </c>
      <c r="P85" t="s">
        <v>703</v>
      </c>
      <c r="Q85" s="2">
        <v>6246</v>
      </c>
      <c r="S85" s="2" t="s">
        <v>802</v>
      </c>
    </row>
    <row r="86" spans="1:19" x14ac:dyDescent="0.3">
      <c r="A86" s="6" t="s">
        <v>241</v>
      </c>
      <c r="B86" s="6" t="s">
        <v>13</v>
      </c>
      <c r="C86" s="43">
        <v>2</v>
      </c>
      <c r="D86" s="6" t="s">
        <v>292</v>
      </c>
      <c r="E86" s="7" t="s">
        <v>54</v>
      </c>
      <c r="F86" s="7" t="s">
        <v>52</v>
      </c>
      <c r="G86" s="12" t="s">
        <v>333</v>
      </c>
      <c r="H86" s="13"/>
      <c r="I86" s="44">
        <v>104.9</v>
      </c>
      <c r="J86" s="12" t="s">
        <v>243</v>
      </c>
      <c r="K86" s="15">
        <v>43966</v>
      </c>
      <c r="L86" s="7">
        <v>237963</v>
      </c>
      <c r="M86" s="7" t="s">
        <v>362</v>
      </c>
      <c r="P86" t="s">
        <v>695</v>
      </c>
      <c r="Q86" s="2">
        <v>6246</v>
      </c>
      <c r="S86" s="2" t="s">
        <v>802</v>
      </c>
    </row>
    <row r="87" spans="1:19" x14ac:dyDescent="0.3">
      <c r="A87" s="6" t="s">
        <v>454</v>
      </c>
      <c r="B87" s="6" t="s">
        <v>13</v>
      </c>
      <c r="C87" s="43">
        <v>4</v>
      </c>
      <c r="D87" s="6" t="s">
        <v>455</v>
      </c>
      <c r="E87" s="7" t="s">
        <v>54</v>
      </c>
      <c r="F87" s="7"/>
      <c r="G87" s="12" t="s">
        <v>184</v>
      </c>
      <c r="H87" s="13"/>
      <c r="I87" s="44">
        <v>33.6</v>
      </c>
      <c r="J87" s="12" t="s">
        <v>264</v>
      </c>
      <c r="K87" s="15">
        <v>43994</v>
      </c>
      <c r="L87" s="7">
        <v>238283</v>
      </c>
      <c r="M87" s="7" t="s">
        <v>362</v>
      </c>
      <c r="P87" t="s">
        <v>705</v>
      </c>
      <c r="Q87" s="2">
        <v>6245</v>
      </c>
      <c r="S87" s="2" t="s">
        <v>791</v>
      </c>
    </row>
    <row r="88" spans="1:19" x14ac:dyDescent="0.3">
      <c r="A88" s="6" t="s">
        <v>363</v>
      </c>
      <c r="B88" s="6" t="s">
        <v>13</v>
      </c>
      <c r="C88" s="21">
        <v>30</v>
      </c>
      <c r="D88" s="6" t="s">
        <v>519</v>
      </c>
      <c r="E88" s="7" t="s">
        <v>54</v>
      </c>
      <c r="F88" s="7" t="s">
        <v>52</v>
      </c>
      <c r="G88" s="12" t="s">
        <v>57</v>
      </c>
      <c r="H88" s="44">
        <v>0</v>
      </c>
      <c r="I88" s="44">
        <v>1170</v>
      </c>
      <c r="J88" s="12" t="s">
        <v>520</v>
      </c>
      <c r="K88" s="15">
        <v>44008</v>
      </c>
      <c r="L88" s="7">
        <v>238508</v>
      </c>
      <c r="M88" s="7" t="s">
        <v>362</v>
      </c>
      <c r="P88" t="s">
        <v>705</v>
      </c>
      <c r="Q88" s="2">
        <v>6246</v>
      </c>
      <c r="S88" s="2" t="s">
        <v>791</v>
      </c>
    </row>
    <row r="89" spans="1:19" x14ac:dyDescent="0.3">
      <c r="A89" s="6" t="s">
        <v>521</v>
      </c>
      <c r="B89" s="6" t="s">
        <v>13</v>
      </c>
      <c r="C89" s="21">
        <v>4</v>
      </c>
      <c r="D89" s="6"/>
      <c r="E89" s="7" t="s">
        <v>54</v>
      </c>
      <c r="F89" s="7" t="s">
        <v>52</v>
      </c>
      <c r="G89" s="12" t="s">
        <v>57</v>
      </c>
      <c r="H89" s="44">
        <v>0</v>
      </c>
      <c r="I89" s="44">
        <v>207</v>
      </c>
      <c r="J89" s="12" t="s">
        <v>520</v>
      </c>
      <c r="K89" s="15">
        <v>44008</v>
      </c>
      <c r="L89" s="7">
        <v>238507</v>
      </c>
      <c r="M89" s="7" t="s">
        <v>362</v>
      </c>
      <c r="P89" t="s">
        <v>705</v>
      </c>
      <c r="Q89" s="2">
        <v>6246</v>
      </c>
      <c r="S89" s="2" t="s">
        <v>791</v>
      </c>
    </row>
    <row r="90" spans="1:19" x14ac:dyDescent="0.3">
      <c r="A90" s="6" t="s">
        <v>529</v>
      </c>
      <c r="B90" s="6" t="s">
        <v>13</v>
      </c>
      <c r="C90" s="125" t="s">
        <v>533</v>
      </c>
      <c r="D90" s="6" t="s">
        <v>532</v>
      </c>
      <c r="E90" s="7" t="s">
        <v>54</v>
      </c>
      <c r="F90" s="7">
        <v>22000426</v>
      </c>
      <c r="G90" s="12" t="s">
        <v>530</v>
      </c>
      <c r="H90" s="44">
        <v>0</v>
      </c>
      <c r="I90" s="44">
        <v>5536</v>
      </c>
      <c r="J90" s="12" t="s">
        <v>531</v>
      </c>
      <c r="K90" s="15">
        <v>44029</v>
      </c>
      <c r="L90" s="7">
        <v>238698</v>
      </c>
      <c r="M90" s="7" t="s">
        <v>362</v>
      </c>
      <c r="P90" t="s">
        <v>705</v>
      </c>
      <c r="Q90" s="2">
        <v>6246</v>
      </c>
      <c r="S90" s="2" t="s">
        <v>791</v>
      </c>
    </row>
    <row r="91" spans="1:19" x14ac:dyDescent="0.3">
      <c r="A91" s="6" t="s">
        <v>529</v>
      </c>
      <c r="B91" s="6" t="s">
        <v>13</v>
      </c>
      <c r="C91" s="125" t="s">
        <v>618</v>
      </c>
      <c r="D91" s="6" t="s">
        <v>617</v>
      </c>
      <c r="E91" s="7" t="s">
        <v>54</v>
      </c>
      <c r="F91" s="7"/>
      <c r="G91" s="12" t="s">
        <v>530</v>
      </c>
      <c r="H91" s="44">
        <v>0</v>
      </c>
      <c r="I91" s="44">
        <v>0</v>
      </c>
      <c r="J91" s="12" t="s">
        <v>183</v>
      </c>
      <c r="K91" s="7"/>
      <c r="L91" s="7"/>
      <c r="M91" s="7"/>
      <c r="P91" t="s">
        <v>705</v>
      </c>
      <c r="Q91" s="2" t="s">
        <v>741</v>
      </c>
      <c r="R91" t="s">
        <v>741</v>
      </c>
    </row>
    <row r="92" spans="1:19" x14ac:dyDescent="0.3">
      <c r="A92" s="6" t="s">
        <v>599</v>
      </c>
      <c r="B92" s="6" t="s">
        <v>13</v>
      </c>
      <c r="C92" s="125" t="s">
        <v>600</v>
      </c>
      <c r="D92" s="6" t="s">
        <v>601</v>
      </c>
      <c r="E92" s="7" t="s">
        <v>54</v>
      </c>
      <c r="F92" s="7">
        <v>22000452</v>
      </c>
      <c r="G92" s="12" t="s">
        <v>57</v>
      </c>
      <c r="H92" s="44">
        <v>0</v>
      </c>
      <c r="I92" s="44">
        <v>11856</v>
      </c>
      <c r="J92" s="12" t="s">
        <v>15</v>
      </c>
      <c r="K92" s="15">
        <v>44057</v>
      </c>
      <c r="L92" s="7">
        <v>239043</v>
      </c>
      <c r="M92" s="7" t="s">
        <v>362</v>
      </c>
      <c r="P92" t="s">
        <v>704</v>
      </c>
      <c r="Q92" s="2">
        <v>6246</v>
      </c>
      <c r="S92" s="2" t="s">
        <v>802</v>
      </c>
    </row>
    <row r="93" spans="1:19" ht="28.8" x14ac:dyDescent="0.3">
      <c r="A93" s="6" t="s">
        <v>599</v>
      </c>
      <c r="B93" s="6" t="s">
        <v>574</v>
      </c>
      <c r="C93" s="125" t="s">
        <v>668</v>
      </c>
      <c r="D93" s="6" t="s">
        <v>669</v>
      </c>
      <c r="E93" s="7" t="s">
        <v>54</v>
      </c>
      <c r="F93" s="7">
        <v>22000476</v>
      </c>
      <c r="G93" s="12" t="s">
        <v>57</v>
      </c>
      <c r="H93" s="44">
        <v>0</v>
      </c>
      <c r="I93" s="44">
        <v>28512</v>
      </c>
      <c r="J93" s="12" t="s">
        <v>183</v>
      </c>
      <c r="K93" s="15">
        <v>44085</v>
      </c>
      <c r="L93" s="7">
        <v>239396</v>
      </c>
      <c r="M93" s="7" t="s">
        <v>362</v>
      </c>
      <c r="P93" s="156" t="s">
        <v>794</v>
      </c>
      <c r="Q93" s="2">
        <v>6246</v>
      </c>
      <c r="S93" s="160" t="s">
        <v>803</v>
      </c>
    </row>
    <row r="94" spans="1:19" x14ac:dyDescent="0.3">
      <c r="A94" s="6" t="s">
        <v>529</v>
      </c>
      <c r="B94" s="6" t="s">
        <v>13</v>
      </c>
      <c r="C94" s="125" t="s">
        <v>690</v>
      </c>
      <c r="D94" s="6" t="s">
        <v>691</v>
      </c>
      <c r="E94" s="7" t="s">
        <v>54</v>
      </c>
      <c r="F94" s="7">
        <v>22000502</v>
      </c>
      <c r="G94" s="12" t="s">
        <v>530</v>
      </c>
      <c r="H94" s="44">
        <v>0</v>
      </c>
      <c r="I94" s="44">
        <v>1608.5</v>
      </c>
      <c r="J94" s="12" t="s">
        <v>520</v>
      </c>
      <c r="K94" s="15">
        <v>44092</v>
      </c>
      <c r="L94" s="7">
        <v>239471</v>
      </c>
      <c r="M94" s="7" t="s">
        <v>362</v>
      </c>
      <c r="P94" t="s">
        <v>705</v>
      </c>
      <c r="Q94" s="2" t="s">
        <v>793</v>
      </c>
      <c r="R94" t="s">
        <v>742</v>
      </c>
      <c r="S94" s="2" t="s">
        <v>791</v>
      </c>
    </row>
    <row r="95" spans="1:19" x14ac:dyDescent="0.3">
      <c r="A95" s="6" t="s">
        <v>260</v>
      </c>
      <c r="B95" s="6" t="s">
        <v>13</v>
      </c>
      <c r="C95" s="43" t="s">
        <v>205</v>
      </c>
      <c r="D95" s="6" t="s">
        <v>261</v>
      </c>
      <c r="E95" s="7" t="s">
        <v>54</v>
      </c>
      <c r="F95" s="7" t="s">
        <v>52</v>
      </c>
      <c r="G95" s="12" t="s">
        <v>187</v>
      </c>
      <c r="H95" s="13"/>
      <c r="I95" s="44">
        <v>87.53</v>
      </c>
      <c r="J95" s="12" t="s">
        <v>245</v>
      </c>
      <c r="K95" s="7"/>
      <c r="L95" s="7" t="s">
        <v>168</v>
      </c>
      <c r="M95" s="7" t="s">
        <v>362</v>
      </c>
      <c r="N95" s="45">
        <v>43911</v>
      </c>
      <c r="P95" t="s">
        <v>705</v>
      </c>
      <c r="Q95" s="2">
        <v>6246</v>
      </c>
      <c r="S95" s="2" t="s">
        <v>791</v>
      </c>
    </row>
    <row r="96" spans="1:19" x14ac:dyDescent="0.3">
      <c r="A96" s="6" t="s">
        <v>259</v>
      </c>
      <c r="B96" s="6" t="s">
        <v>13</v>
      </c>
      <c r="C96" s="43">
        <v>6</v>
      </c>
      <c r="D96" s="6"/>
      <c r="E96" s="7" t="s">
        <v>54</v>
      </c>
      <c r="F96" s="7" t="s">
        <v>52</v>
      </c>
      <c r="G96" s="12" t="s">
        <v>171</v>
      </c>
      <c r="H96" s="13"/>
      <c r="I96" s="44">
        <v>11.94</v>
      </c>
      <c r="J96" s="12" t="s">
        <v>245</v>
      </c>
      <c r="K96" s="7"/>
      <c r="L96" s="7" t="s">
        <v>168</v>
      </c>
      <c r="M96" s="7" t="s">
        <v>362</v>
      </c>
      <c r="N96" s="45">
        <v>43918</v>
      </c>
      <c r="P96" t="s">
        <v>699</v>
      </c>
      <c r="Q96" s="2">
        <v>6246</v>
      </c>
      <c r="S96" s="2" t="s">
        <v>802</v>
      </c>
    </row>
    <row r="97" spans="1:19" x14ac:dyDescent="0.3">
      <c r="A97" s="6" t="s">
        <v>256</v>
      </c>
      <c r="B97" s="6" t="s">
        <v>13</v>
      </c>
      <c r="C97" s="43"/>
      <c r="D97" s="6"/>
      <c r="E97" s="7" t="s">
        <v>54</v>
      </c>
      <c r="F97" s="7" t="s">
        <v>52</v>
      </c>
      <c r="G97" s="12" t="s">
        <v>169</v>
      </c>
      <c r="H97" s="13"/>
      <c r="I97" s="44">
        <v>59</v>
      </c>
      <c r="J97" s="12" t="s">
        <v>245</v>
      </c>
      <c r="K97" s="7"/>
      <c r="L97" s="7" t="s">
        <v>168</v>
      </c>
      <c r="M97" s="7" t="s">
        <v>362</v>
      </c>
      <c r="N97" s="45">
        <v>43918</v>
      </c>
      <c r="P97" t="s">
        <v>705</v>
      </c>
      <c r="Q97" s="2">
        <v>6246</v>
      </c>
      <c r="S97" s="2" t="s">
        <v>791</v>
      </c>
    </row>
    <row r="98" spans="1:19" x14ac:dyDescent="0.3">
      <c r="A98" s="6" t="s">
        <v>258</v>
      </c>
      <c r="B98" s="6" t="s">
        <v>13</v>
      </c>
      <c r="C98" s="43"/>
      <c r="D98" s="6"/>
      <c r="E98" s="7" t="s">
        <v>54</v>
      </c>
      <c r="F98" s="7" t="s">
        <v>52</v>
      </c>
      <c r="G98" s="12" t="s">
        <v>169</v>
      </c>
      <c r="H98" s="13"/>
      <c r="I98" s="44">
        <v>79.52</v>
      </c>
      <c r="J98" s="12" t="s">
        <v>245</v>
      </c>
      <c r="K98" s="7"/>
      <c r="L98" s="7" t="s">
        <v>168</v>
      </c>
      <c r="M98" s="7" t="s">
        <v>362</v>
      </c>
      <c r="N98" s="45">
        <v>43924</v>
      </c>
      <c r="P98" t="s">
        <v>705</v>
      </c>
      <c r="Q98" s="2">
        <v>6246</v>
      </c>
      <c r="S98" s="2" t="s">
        <v>791</v>
      </c>
    </row>
    <row r="99" spans="1:19" x14ac:dyDescent="0.3">
      <c r="A99" s="6" t="s">
        <v>258</v>
      </c>
      <c r="B99" s="6" t="s">
        <v>13</v>
      </c>
      <c r="C99" s="43"/>
      <c r="D99" s="6"/>
      <c r="E99" s="7" t="s">
        <v>54</v>
      </c>
      <c r="F99" s="7" t="s">
        <v>52</v>
      </c>
      <c r="G99" s="12" t="s">
        <v>169</v>
      </c>
      <c r="H99" s="13"/>
      <c r="I99" s="44">
        <v>276.83</v>
      </c>
      <c r="J99" s="12" t="s">
        <v>245</v>
      </c>
      <c r="K99" s="7"/>
      <c r="L99" s="7" t="s">
        <v>168</v>
      </c>
      <c r="M99" s="7" t="s">
        <v>362</v>
      </c>
      <c r="N99" s="45">
        <v>43925</v>
      </c>
      <c r="P99" t="s">
        <v>705</v>
      </c>
      <c r="Q99" s="2">
        <v>6246</v>
      </c>
      <c r="S99" s="2" t="s">
        <v>791</v>
      </c>
    </row>
    <row r="100" spans="1:19" x14ac:dyDescent="0.3">
      <c r="A100" s="6" t="s">
        <v>319</v>
      </c>
      <c r="B100" s="6" t="s">
        <v>320</v>
      </c>
      <c r="C100" s="48">
        <v>45</v>
      </c>
      <c r="D100" s="6" t="s">
        <v>323</v>
      </c>
      <c r="E100" s="7" t="s">
        <v>54</v>
      </c>
      <c r="F100" s="7" t="s">
        <v>52</v>
      </c>
      <c r="G100" s="12" t="s">
        <v>187</v>
      </c>
      <c r="H100" s="13"/>
      <c r="I100" s="44">
        <v>66.150000000000006</v>
      </c>
      <c r="J100" s="12" t="s">
        <v>322</v>
      </c>
      <c r="K100" s="7"/>
      <c r="L100" s="7" t="s">
        <v>168</v>
      </c>
      <c r="M100" s="7" t="s">
        <v>362</v>
      </c>
      <c r="N100" s="45">
        <v>43915</v>
      </c>
      <c r="P100" t="s">
        <v>701</v>
      </c>
      <c r="Q100" s="2">
        <v>6246</v>
      </c>
      <c r="S100" s="2" t="s">
        <v>802</v>
      </c>
    </row>
    <row r="101" spans="1:19" x14ac:dyDescent="0.3">
      <c r="A101" s="6" t="s">
        <v>319</v>
      </c>
      <c r="B101" s="6" t="s">
        <v>320</v>
      </c>
      <c r="C101" s="48">
        <v>72</v>
      </c>
      <c r="D101" s="6" t="s">
        <v>321</v>
      </c>
      <c r="E101" s="7" t="s">
        <v>54</v>
      </c>
      <c r="F101" s="7" t="s">
        <v>52</v>
      </c>
      <c r="G101" s="12" t="s">
        <v>187</v>
      </c>
      <c r="H101" s="13"/>
      <c r="I101" s="44">
        <v>65.739999999999995</v>
      </c>
      <c r="J101" s="12" t="s">
        <v>322</v>
      </c>
      <c r="K101" s="7"/>
      <c r="L101" s="7" t="s">
        <v>168</v>
      </c>
      <c r="M101" s="7" t="s">
        <v>362</v>
      </c>
      <c r="N101" s="45">
        <v>43915</v>
      </c>
      <c r="P101" t="s">
        <v>701</v>
      </c>
      <c r="Q101" s="2">
        <v>6246</v>
      </c>
      <c r="S101" s="2" t="s">
        <v>802</v>
      </c>
    </row>
    <row r="102" spans="1:19" x14ac:dyDescent="0.3">
      <c r="A102" s="6" t="s">
        <v>319</v>
      </c>
      <c r="B102" s="6" t="s">
        <v>320</v>
      </c>
      <c r="C102" s="48">
        <v>88</v>
      </c>
      <c r="D102" s="6" t="s">
        <v>321</v>
      </c>
      <c r="E102" s="7" t="s">
        <v>54</v>
      </c>
      <c r="F102" s="7" t="s">
        <v>52</v>
      </c>
      <c r="G102" s="12" t="s">
        <v>187</v>
      </c>
      <c r="H102" s="44"/>
      <c r="I102" s="44">
        <v>80.03</v>
      </c>
      <c r="J102" s="12" t="s">
        <v>322</v>
      </c>
      <c r="K102" s="7"/>
      <c r="L102" s="7" t="s">
        <v>168</v>
      </c>
      <c r="M102" s="7" t="s">
        <v>362</v>
      </c>
      <c r="N102" s="45">
        <v>43916</v>
      </c>
      <c r="P102" t="s">
        <v>701</v>
      </c>
      <c r="Q102" s="2">
        <v>6246</v>
      </c>
      <c r="S102" s="2" t="s">
        <v>802</v>
      </c>
    </row>
    <row r="103" spans="1:19" x14ac:dyDescent="0.3">
      <c r="A103" s="6" t="s">
        <v>319</v>
      </c>
      <c r="B103" s="6" t="s">
        <v>320</v>
      </c>
      <c r="C103" s="48">
        <v>88</v>
      </c>
      <c r="D103" s="6" t="s">
        <v>321</v>
      </c>
      <c r="E103" s="7" t="s">
        <v>54</v>
      </c>
      <c r="F103" s="7" t="s">
        <v>52</v>
      </c>
      <c r="G103" s="12" t="s">
        <v>187</v>
      </c>
      <c r="H103" s="13"/>
      <c r="I103" s="44">
        <v>86.63</v>
      </c>
      <c r="J103" s="12" t="s">
        <v>322</v>
      </c>
      <c r="K103" s="7"/>
      <c r="L103" s="7" t="s">
        <v>168</v>
      </c>
      <c r="M103" s="7" t="s">
        <v>450</v>
      </c>
      <c r="N103" s="45">
        <v>43916</v>
      </c>
      <c r="P103" t="s">
        <v>701</v>
      </c>
      <c r="Q103" s="2">
        <v>6246</v>
      </c>
      <c r="S103" s="2" t="s">
        <v>802</v>
      </c>
    </row>
    <row r="104" spans="1:19" x14ac:dyDescent="0.3">
      <c r="A104" s="6" t="s">
        <v>319</v>
      </c>
      <c r="B104" s="6" t="s">
        <v>320</v>
      </c>
      <c r="C104" s="48">
        <v>-88</v>
      </c>
      <c r="D104" s="6" t="s">
        <v>324</v>
      </c>
      <c r="E104" s="7" t="s">
        <v>54</v>
      </c>
      <c r="F104" s="7" t="s">
        <v>52</v>
      </c>
      <c r="G104" s="12" t="s">
        <v>187</v>
      </c>
      <c r="H104" s="13"/>
      <c r="I104" s="44">
        <v>-86.63</v>
      </c>
      <c r="J104" s="12" t="s">
        <v>322</v>
      </c>
      <c r="K104" s="7"/>
      <c r="L104" s="7" t="s">
        <v>168</v>
      </c>
      <c r="M104" s="7" t="s">
        <v>450</v>
      </c>
      <c r="N104" s="45">
        <v>43916</v>
      </c>
      <c r="P104" t="s">
        <v>701</v>
      </c>
      <c r="Q104" s="2">
        <v>6246</v>
      </c>
      <c r="S104" s="2" t="s">
        <v>802</v>
      </c>
    </row>
    <row r="105" spans="1:19" x14ac:dyDescent="0.3">
      <c r="A105" s="6" t="s">
        <v>347</v>
      </c>
      <c r="B105" s="6" t="s">
        <v>320</v>
      </c>
      <c r="C105" s="48">
        <v>53</v>
      </c>
      <c r="D105" s="6"/>
      <c r="E105" s="7" t="s">
        <v>54</v>
      </c>
      <c r="F105" s="7" t="s">
        <v>52</v>
      </c>
      <c r="G105" s="12" t="s">
        <v>176</v>
      </c>
      <c r="H105" s="13"/>
      <c r="I105" s="44">
        <v>53</v>
      </c>
      <c r="J105" s="12" t="s">
        <v>252</v>
      </c>
      <c r="K105" s="7"/>
      <c r="L105" s="7" t="s">
        <v>168</v>
      </c>
      <c r="M105" s="7" t="s">
        <v>362</v>
      </c>
      <c r="N105" s="45">
        <v>43917</v>
      </c>
      <c r="P105" t="s">
        <v>701</v>
      </c>
      <c r="Q105" s="2">
        <v>6246</v>
      </c>
      <c r="S105" s="2" t="s">
        <v>802</v>
      </c>
    </row>
    <row r="106" spans="1:19" x14ac:dyDescent="0.3">
      <c r="A106" s="6" t="s">
        <v>347</v>
      </c>
      <c r="B106" s="6" t="s">
        <v>320</v>
      </c>
      <c r="C106" s="48">
        <v>48</v>
      </c>
      <c r="D106" s="6"/>
      <c r="E106" s="7" t="s">
        <v>54</v>
      </c>
      <c r="F106" s="7" t="s">
        <v>52</v>
      </c>
      <c r="G106" s="12" t="s">
        <v>176</v>
      </c>
      <c r="H106" s="13"/>
      <c r="I106" s="44">
        <v>48</v>
      </c>
      <c r="J106" s="12" t="s">
        <v>252</v>
      </c>
      <c r="K106" s="7"/>
      <c r="L106" s="7" t="s">
        <v>168</v>
      </c>
      <c r="M106" s="7" t="s">
        <v>362</v>
      </c>
      <c r="N106" s="45">
        <v>43921</v>
      </c>
      <c r="P106" t="s">
        <v>701</v>
      </c>
      <c r="Q106" s="2">
        <v>6246</v>
      </c>
      <c r="S106" s="2" t="s">
        <v>802</v>
      </c>
    </row>
    <row r="107" spans="1:19" x14ac:dyDescent="0.3">
      <c r="A107" s="6" t="s">
        <v>231</v>
      </c>
      <c r="B107" s="6" t="s">
        <v>13</v>
      </c>
      <c r="C107" s="43" t="s">
        <v>205</v>
      </c>
      <c r="D107" s="6" t="s">
        <v>230</v>
      </c>
      <c r="E107" s="7" t="s">
        <v>54</v>
      </c>
      <c r="F107" s="7" t="s">
        <v>52</v>
      </c>
      <c r="G107" s="12" t="s">
        <v>169</v>
      </c>
      <c r="H107" s="13"/>
      <c r="I107" s="44">
        <v>152.55000000000001</v>
      </c>
      <c r="J107" s="12" t="s">
        <v>55</v>
      </c>
      <c r="K107" s="7"/>
      <c r="L107" s="7" t="s">
        <v>168</v>
      </c>
      <c r="M107" s="7" t="s">
        <v>362</v>
      </c>
      <c r="N107" s="45">
        <v>43909</v>
      </c>
      <c r="P107" t="s">
        <v>705</v>
      </c>
      <c r="Q107" s="2">
        <v>6246</v>
      </c>
      <c r="S107" s="2" t="s">
        <v>791</v>
      </c>
    </row>
    <row r="108" spans="1:19" x14ac:dyDescent="0.3">
      <c r="A108" s="6" t="s">
        <v>358</v>
      </c>
      <c r="B108" s="6" t="s">
        <v>13</v>
      </c>
      <c r="C108" s="48" t="s">
        <v>361</v>
      </c>
      <c r="D108" s="6" t="s">
        <v>359</v>
      </c>
      <c r="E108" s="7" t="s">
        <v>54</v>
      </c>
      <c r="F108" s="7" t="s">
        <v>52</v>
      </c>
      <c r="G108" s="12" t="s">
        <v>187</v>
      </c>
      <c r="H108" s="13"/>
      <c r="I108" s="44">
        <f>10.36-4.48</f>
        <v>5.879999999999999</v>
      </c>
      <c r="J108" s="12" t="s">
        <v>55</v>
      </c>
      <c r="K108" s="7"/>
      <c r="L108" s="7" t="s">
        <v>168</v>
      </c>
      <c r="M108" s="7" t="s">
        <v>362</v>
      </c>
      <c r="N108" s="45">
        <v>43913</v>
      </c>
      <c r="P108" t="s">
        <v>705</v>
      </c>
      <c r="Q108" s="2">
        <v>6246</v>
      </c>
      <c r="S108" s="2" t="s">
        <v>791</v>
      </c>
    </row>
    <row r="109" spans="1:19" x14ac:dyDescent="0.3">
      <c r="A109" s="6" t="s">
        <v>221</v>
      </c>
      <c r="B109" s="6" t="s">
        <v>13</v>
      </c>
      <c r="C109" s="43" t="s">
        <v>205</v>
      </c>
      <c r="D109" s="6" t="s">
        <v>220</v>
      </c>
      <c r="E109" s="7" t="s">
        <v>54</v>
      </c>
      <c r="F109" s="7" t="s">
        <v>52</v>
      </c>
      <c r="G109" s="12" t="s">
        <v>187</v>
      </c>
      <c r="H109" s="13"/>
      <c r="I109" s="44">
        <v>50.08</v>
      </c>
      <c r="J109" s="12" t="s">
        <v>55</v>
      </c>
      <c r="K109" s="7"/>
      <c r="L109" s="7" t="s">
        <v>168</v>
      </c>
      <c r="M109" s="7" t="s">
        <v>362</v>
      </c>
      <c r="N109" s="45">
        <v>43915</v>
      </c>
      <c r="P109" t="s">
        <v>705</v>
      </c>
      <c r="Q109" s="2">
        <v>6246</v>
      </c>
      <c r="S109" s="2" t="s">
        <v>791</v>
      </c>
    </row>
    <row r="110" spans="1:19" x14ac:dyDescent="0.3">
      <c r="A110" s="6" t="s">
        <v>226</v>
      </c>
      <c r="B110" s="6" t="s">
        <v>13</v>
      </c>
      <c r="C110" s="43">
        <v>20</v>
      </c>
      <c r="D110" s="6" t="s">
        <v>229</v>
      </c>
      <c r="E110" s="7" t="s">
        <v>54</v>
      </c>
      <c r="F110" s="7" t="s">
        <v>52</v>
      </c>
      <c r="G110" s="12" t="s">
        <v>227</v>
      </c>
      <c r="H110" s="13"/>
      <c r="I110" s="44">
        <v>427.8</v>
      </c>
      <c r="J110" s="12" t="s">
        <v>55</v>
      </c>
      <c r="K110" s="7"/>
      <c r="L110" s="7" t="s">
        <v>168</v>
      </c>
      <c r="M110" s="7" t="s">
        <v>362</v>
      </c>
      <c r="N110" s="45">
        <v>43915</v>
      </c>
      <c r="P110" t="s">
        <v>703</v>
      </c>
      <c r="Q110" s="2">
        <v>6246</v>
      </c>
      <c r="S110" s="2" t="s">
        <v>802</v>
      </c>
    </row>
    <row r="111" spans="1:19" x14ac:dyDescent="0.3">
      <c r="A111" s="6" t="s">
        <v>226</v>
      </c>
      <c r="B111" s="6" t="s">
        <v>13</v>
      </c>
      <c r="C111" s="43">
        <v>40</v>
      </c>
      <c r="D111" s="6" t="s">
        <v>228</v>
      </c>
      <c r="E111" s="7" t="s">
        <v>54</v>
      </c>
      <c r="F111" s="7" t="s">
        <v>52</v>
      </c>
      <c r="G111" s="12" t="s">
        <v>227</v>
      </c>
      <c r="H111" s="13"/>
      <c r="I111" s="44">
        <v>855.6</v>
      </c>
      <c r="J111" s="12" t="s">
        <v>55</v>
      </c>
      <c r="K111" s="7"/>
      <c r="L111" s="7" t="s">
        <v>168</v>
      </c>
      <c r="M111" s="7" t="s">
        <v>362</v>
      </c>
      <c r="N111" s="45">
        <v>43917</v>
      </c>
      <c r="P111" t="s">
        <v>703</v>
      </c>
      <c r="Q111" s="2">
        <v>6246</v>
      </c>
      <c r="S111" s="2" t="s">
        <v>802</v>
      </c>
    </row>
    <row r="112" spans="1:19" x14ac:dyDescent="0.3">
      <c r="A112" s="6" t="s">
        <v>224</v>
      </c>
      <c r="B112" s="6" t="s">
        <v>13</v>
      </c>
      <c r="C112" s="43">
        <v>2</v>
      </c>
      <c r="D112" s="6" t="s">
        <v>225</v>
      </c>
      <c r="E112" s="7" t="s">
        <v>54</v>
      </c>
      <c r="F112" s="7" t="s">
        <v>52</v>
      </c>
      <c r="G112" s="12" t="s">
        <v>169</v>
      </c>
      <c r="H112" s="13"/>
      <c r="I112" s="44">
        <v>16.96</v>
      </c>
      <c r="J112" s="12" t="s">
        <v>55</v>
      </c>
      <c r="K112" s="7"/>
      <c r="L112" s="7" t="s">
        <v>168</v>
      </c>
      <c r="M112" s="7" t="s">
        <v>362</v>
      </c>
      <c r="N112" s="45">
        <v>43917</v>
      </c>
      <c r="P112" t="s">
        <v>705</v>
      </c>
      <c r="Q112" s="2">
        <v>6245</v>
      </c>
      <c r="S112" s="2" t="s">
        <v>791</v>
      </c>
    </row>
    <row r="113" spans="1:19" x14ac:dyDescent="0.3">
      <c r="A113" s="6" t="s">
        <v>253</v>
      </c>
      <c r="B113" s="6" t="s">
        <v>13</v>
      </c>
      <c r="C113" s="43" t="s">
        <v>205</v>
      </c>
      <c r="D113" s="6" t="s">
        <v>254</v>
      </c>
      <c r="E113" s="7" t="s">
        <v>54</v>
      </c>
      <c r="F113" s="7" t="s">
        <v>52</v>
      </c>
      <c r="G113" s="12" t="s">
        <v>169</v>
      </c>
      <c r="H113" s="13"/>
      <c r="I113" s="44">
        <v>185.2</v>
      </c>
      <c r="J113" s="12" t="s">
        <v>255</v>
      </c>
      <c r="K113" s="7"/>
      <c r="L113" s="7" t="s">
        <v>168</v>
      </c>
      <c r="M113" s="7" t="s">
        <v>362</v>
      </c>
      <c r="N113" s="45">
        <v>43914</v>
      </c>
      <c r="P113" t="s">
        <v>705</v>
      </c>
      <c r="Q113" s="2">
        <v>6245</v>
      </c>
      <c r="S113" s="2" t="s">
        <v>791</v>
      </c>
    </row>
    <row r="114" spans="1:19" x14ac:dyDescent="0.3">
      <c r="A114" s="6" t="s">
        <v>355</v>
      </c>
      <c r="B114" s="6" t="s">
        <v>13</v>
      </c>
      <c r="C114" s="48" t="s">
        <v>354</v>
      </c>
      <c r="D114" s="6" t="s">
        <v>356</v>
      </c>
      <c r="E114" s="7" t="s">
        <v>54</v>
      </c>
      <c r="F114" s="7" t="s">
        <v>52</v>
      </c>
      <c r="G114" s="12" t="s">
        <v>348</v>
      </c>
      <c r="H114" s="13"/>
      <c r="I114" s="44">
        <v>215.38</v>
      </c>
      <c r="J114" s="12" t="s">
        <v>243</v>
      </c>
      <c r="K114" s="7"/>
      <c r="L114" s="7" t="s">
        <v>168</v>
      </c>
      <c r="M114" s="7" t="s">
        <v>362</v>
      </c>
      <c r="N114" s="45">
        <v>43921</v>
      </c>
      <c r="P114" t="s">
        <v>699</v>
      </c>
      <c r="Q114" s="2">
        <v>6246</v>
      </c>
      <c r="S114" s="2" t="s">
        <v>802</v>
      </c>
    </row>
    <row r="115" spans="1:19" x14ac:dyDescent="0.3">
      <c r="A115" s="6" t="s">
        <v>355</v>
      </c>
      <c r="B115" s="6" t="s">
        <v>13</v>
      </c>
      <c r="C115" s="48" t="s">
        <v>205</v>
      </c>
      <c r="D115" s="6" t="s">
        <v>357</v>
      </c>
      <c r="E115" s="7" t="s">
        <v>54</v>
      </c>
      <c r="F115" s="7" t="s">
        <v>52</v>
      </c>
      <c r="G115" s="12" t="s">
        <v>348</v>
      </c>
      <c r="H115" s="13"/>
      <c r="I115" s="44">
        <v>224.4</v>
      </c>
      <c r="J115" s="12" t="s">
        <v>243</v>
      </c>
      <c r="K115" s="7"/>
      <c r="L115" s="7" t="s">
        <v>168</v>
      </c>
      <c r="M115" s="7" t="s">
        <v>362</v>
      </c>
      <c r="N115" s="45">
        <v>43921</v>
      </c>
      <c r="P115" t="s">
        <v>699</v>
      </c>
      <c r="Q115" s="2">
        <v>6246</v>
      </c>
      <c r="S115" s="2" t="s">
        <v>802</v>
      </c>
    </row>
    <row r="116" spans="1:19" x14ac:dyDescent="0.3">
      <c r="A116" s="6" t="s">
        <v>241</v>
      </c>
      <c r="B116" s="6" t="s">
        <v>13</v>
      </c>
      <c r="C116" s="48">
        <v>2</v>
      </c>
      <c r="D116" s="6"/>
      <c r="E116" s="7" t="s">
        <v>54</v>
      </c>
      <c r="F116" s="7" t="s">
        <v>52</v>
      </c>
      <c r="G116" s="12" t="s">
        <v>242</v>
      </c>
      <c r="H116" s="13"/>
      <c r="I116" s="44">
        <v>28.04</v>
      </c>
      <c r="J116" s="12" t="s">
        <v>243</v>
      </c>
      <c r="K116" s="7"/>
      <c r="L116" s="7" t="s">
        <v>168</v>
      </c>
      <c r="M116" s="7" t="s">
        <v>362</v>
      </c>
      <c r="N116" s="45">
        <v>43921</v>
      </c>
      <c r="P116" t="s">
        <v>695</v>
      </c>
      <c r="Q116" s="2">
        <v>6246</v>
      </c>
      <c r="S116" s="2" t="s">
        <v>802</v>
      </c>
    </row>
    <row r="117" spans="1:19" x14ac:dyDescent="0.3">
      <c r="A117" s="6" t="s">
        <v>623</v>
      </c>
      <c r="B117" s="6" t="s">
        <v>13</v>
      </c>
      <c r="C117" s="43"/>
      <c r="D117" s="6" t="s">
        <v>624</v>
      </c>
      <c r="E117" s="7" t="s">
        <v>54</v>
      </c>
      <c r="F117" s="7" t="s">
        <v>52</v>
      </c>
      <c r="G117" s="12" t="s">
        <v>621</v>
      </c>
      <c r="H117" s="13"/>
      <c r="I117" s="44">
        <v>-2.14</v>
      </c>
      <c r="J117" s="12" t="s">
        <v>243</v>
      </c>
      <c r="K117" s="7"/>
      <c r="L117" s="7" t="s">
        <v>622</v>
      </c>
      <c r="M117" s="7" t="s">
        <v>362</v>
      </c>
      <c r="N117" s="45">
        <v>44014</v>
      </c>
      <c r="P117" t="s">
        <v>695</v>
      </c>
      <c r="Q117" s="2">
        <v>6246</v>
      </c>
      <c r="S117" s="2" t="s">
        <v>802</v>
      </c>
    </row>
    <row r="118" spans="1:19" x14ac:dyDescent="0.3">
      <c r="A118" s="6" t="s">
        <v>244</v>
      </c>
      <c r="B118" s="6" t="s">
        <v>13</v>
      </c>
      <c r="C118" s="43">
        <v>1</v>
      </c>
      <c r="D118" s="6"/>
      <c r="E118" s="7" t="s">
        <v>54</v>
      </c>
      <c r="F118" s="7" t="s">
        <v>52</v>
      </c>
      <c r="G118" s="12" t="s">
        <v>175</v>
      </c>
      <c r="H118" s="13"/>
      <c r="I118" s="44">
        <v>37.99</v>
      </c>
      <c r="J118" s="12" t="s">
        <v>243</v>
      </c>
      <c r="K118" s="7"/>
      <c r="L118" s="7" t="s">
        <v>168</v>
      </c>
      <c r="M118" s="7" t="s">
        <v>362</v>
      </c>
      <c r="N118" s="45">
        <v>43921</v>
      </c>
      <c r="P118" t="s">
        <v>695</v>
      </c>
      <c r="Q118" s="2">
        <v>6246</v>
      </c>
      <c r="S118" s="2" t="s">
        <v>802</v>
      </c>
    </row>
    <row r="119" spans="1:19" x14ac:dyDescent="0.3">
      <c r="A119" s="6" t="s">
        <v>200</v>
      </c>
      <c r="B119" s="6" t="s">
        <v>195</v>
      </c>
      <c r="C119" s="43">
        <v>8</v>
      </c>
      <c r="D119" s="6" t="s">
        <v>201</v>
      </c>
      <c r="E119" s="7" t="s">
        <v>54</v>
      </c>
      <c r="F119" s="7" t="s">
        <v>52</v>
      </c>
      <c r="G119" s="12" t="s">
        <v>202</v>
      </c>
      <c r="H119" s="13"/>
      <c r="I119" s="44">
        <v>392</v>
      </c>
      <c r="J119" s="12" t="s">
        <v>203</v>
      </c>
      <c r="K119" s="7"/>
      <c r="L119" s="7" t="s">
        <v>168</v>
      </c>
      <c r="M119" s="7" t="s">
        <v>362</v>
      </c>
      <c r="N119" s="45">
        <v>43924</v>
      </c>
      <c r="P119" t="s">
        <v>699</v>
      </c>
      <c r="Q119" s="2">
        <v>6246</v>
      </c>
      <c r="S119" s="2" t="s">
        <v>802</v>
      </c>
    </row>
    <row r="120" spans="1:19" x14ac:dyDescent="0.3">
      <c r="A120" s="6" t="s">
        <v>388</v>
      </c>
      <c r="B120" s="6" t="s">
        <v>13</v>
      </c>
      <c r="C120" s="43">
        <v>7</v>
      </c>
      <c r="D120" s="6" t="s">
        <v>389</v>
      </c>
      <c r="E120" s="7" t="s">
        <v>54</v>
      </c>
      <c r="F120" s="7" t="s">
        <v>52</v>
      </c>
      <c r="G120" s="12" t="s">
        <v>237</v>
      </c>
      <c r="H120" s="13"/>
      <c r="I120" s="44">
        <v>766.39</v>
      </c>
      <c r="J120" s="12" t="s">
        <v>55</v>
      </c>
      <c r="K120" s="7"/>
      <c r="L120" s="7" t="s">
        <v>168</v>
      </c>
      <c r="M120" s="7" t="s">
        <v>362</v>
      </c>
      <c r="N120" s="50">
        <v>43935</v>
      </c>
      <c r="P120" t="s">
        <v>702</v>
      </c>
      <c r="Q120" s="2">
        <v>6246</v>
      </c>
      <c r="S120" s="2" t="s">
        <v>802</v>
      </c>
    </row>
    <row r="121" spans="1:19" x14ac:dyDescent="0.3">
      <c r="A121" s="6" t="s">
        <v>240</v>
      </c>
      <c r="B121" s="6" t="s">
        <v>13</v>
      </c>
      <c r="C121" s="43">
        <v>1</v>
      </c>
      <c r="D121" s="6" t="s">
        <v>390</v>
      </c>
      <c r="E121" s="7" t="s">
        <v>54</v>
      </c>
      <c r="F121" s="7" t="s">
        <v>52</v>
      </c>
      <c r="G121" s="12" t="s">
        <v>237</v>
      </c>
      <c r="H121" s="13"/>
      <c r="I121" s="44">
        <v>100.98</v>
      </c>
      <c r="J121" s="12" t="s">
        <v>55</v>
      </c>
      <c r="K121" s="7"/>
      <c r="L121" s="7" t="s">
        <v>168</v>
      </c>
      <c r="M121" s="7" t="s">
        <v>362</v>
      </c>
      <c r="N121" s="50">
        <v>43931</v>
      </c>
      <c r="P121" t="s">
        <v>705</v>
      </c>
      <c r="Q121" s="2">
        <v>6246</v>
      </c>
      <c r="S121" s="2" t="s">
        <v>791</v>
      </c>
    </row>
    <row r="122" spans="1:19" x14ac:dyDescent="0.3">
      <c r="A122" s="6" t="s">
        <v>257</v>
      </c>
      <c r="B122" s="6" t="s">
        <v>13</v>
      </c>
      <c r="C122" s="43" t="s">
        <v>205</v>
      </c>
      <c r="D122" s="6" t="s">
        <v>246</v>
      </c>
      <c r="E122" s="7" t="s">
        <v>54</v>
      </c>
      <c r="F122" s="7" t="s">
        <v>52</v>
      </c>
      <c r="G122" s="12" t="s">
        <v>169</v>
      </c>
      <c r="H122" s="13"/>
      <c r="I122" s="44">
        <v>94.88</v>
      </c>
      <c r="J122" s="12" t="s">
        <v>245</v>
      </c>
      <c r="K122" s="7"/>
      <c r="L122" s="7" t="s">
        <v>168</v>
      </c>
      <c r="M122" s="7" t="s">
        <v>362</v>
      </c>
      <c r="N122" s="45">
        <v>43929</v>
      </c>
      <c r="P122" t="s">
        <v>705</v>
      </c>
      <c r="Q122" s="2">
        <v>6246</v>
      </c>
      <c r="S122" s="2" t="s">
        <v>791</v>
      </c>
    </row>
    <row r="123" spans="1:19" x14ac:dyDescent="0.3">
      <c r="A123" s="6" t="s">
        <v>247</v>
      </c>
      <c r="B123" s="6" t="s">
        <v>13</v>
      </c>
      <c r="C123" s="43" t="s">
        <v>205</v>
      </c>
      <c r="D123" s="6" t="s">
        <v>248</v>
      </c>
      <c r="E123" s="7" t="s">
        <v>54</v>
      </c>
      <c r="F123" s="7" t="s">
        <v>52</v>
      </c>
      <c r="G123" s="12" t="s">
        <v>169</v>
      </c>
      <c r="H123" s="13"/>
      <c r="I123" s="44">
        <v>109.93</v>
      </c>
      <c r="J123" s="12" t="s">
        <v>245</v>
      </c>
      <c r="K123" s="7"/>
      <c r="L123" s="7" t="s">
        <v>168</v>
      </c>
      <c r="M123" s="7" t="s">
        <v>362</v>
      </c>
      <c r="N123" s="45">
        <v>43930</v>
      </c>
      <c r="P123" t="s">
        <v>705</v>
      </c>
      <c r="Q123" s="2">
        <v>6246</v>
      </c>
      <c r="S123" s="2" t="s">
        <v>791</v>
      </c>
    </row>
    <row r="124" spans="1:19" x14ac:dyDescent="0.3">
      <c r="A124" s="6" t="s">
        <v>249</v>
      </c>
      <c r="B124" s="6" t="s">
        <v>13</v>
      </c>
      <c r="C124" s="43">
        <v>2</v>
      </c>
      <c r="D124" s="6"/>
      <c r="E124" s="7" t="s">
        <v>54</v>
      </c>
      <c r="F124" s="7" t="s">
        <v>52</v>
      </c>
      <c r="G124" s="12" t="s">
        <v>169</v>
      </c>
      <c r="H124" s="13"/>
      <c r="I124" s="44">
        <v>10.74</v>
      </c>
      <c r="J124" s="12" t="s">
        <v>245</v>
      </c>
      <c r="K124" s="7"/>
      <c r="L124" s="7" t="s">
        <v>168</v>
      </c>
      <c r="M124" s="7" t="s">
        <v>362</v>
      </c>
      <c r="N124" s="45">
        <v>43934</v>
      </c>
      <c r="P124" t="s">
        <v>705</v>
      </c>
      <c r="Q124" s="2">
        <v>6245</v>
      </c>
      <c r="S124" s="2" t="s">
        <v>791</v>
      </c>
    </row>
    <row r="125" spans="1:19" x14ac:dyDescent="0.3">
      <c r="A125" s="6" t="s">
        <v>259</v>
      </c>
      <c r="B125" s="6" t="s">
        <v>13</v>
      </c>
      <c r="C125" s="43">
        <v>20</v>
      </c>
      <c r="D125" s="6"/>
      <c r="E125" s="7" t="s">
        <v>54</v>
      </c>
      <c r="F125" s="7" t="s">
        <v>52</v>
      </c>
      <c r="G125" s="12" t="s">
        <v>171</v>
      </c>
      <c r="H125" s="13"/>
      <c r="I125" s="44">
        <v>39.799999999999997</v>
      </c>
      <c r="J125" s="12" t="s">
        <v>245</v>
      </c>
      <c r="K125" s="7"/>
      <c r="L125" s="7" t="s">
        <v>168</v>
      </c>
      <c r="M125" s="7" t="s">
        <v>362</v>
      </c>
      <c r="N125" s="45">
        <v>43942</v>
      </c>
      <c r="P125" t="s">
        <v>699</v>
      </c>
      <c r="Q125" s="2">
        <v>6246</v>
      </c>
      <c r="S125" s="2" t="s">
        <v>802</v>
      </c>
    </row>
    <row r="126" spans="1:19" x14ac:dyDescent="0.3">
      <c r="A126" s="6" t="s">
        <v>272</v>
      </c>
      <c r="B126" s="6" t="s">
        <v>13</v>
      </c>
      <c r="C126" s="43"/>
      <c r="D126" s="6"/>
      <c r="E126" s="7" t="s">
        <v>54</v>
      </c>
      <c r="F126" s="7" t="s">
        <v>52</v>
      </c>
      <c r="G126" s="12" t="s">
        <v>169</v>
      </c>
      <c r="H126" s="13"/>
      <c r="I126" s="44">
        <v>27.74</v>
      </c>
      <c r="J126" s="12" t="s">
        <v>245</v>
      </c>
      <c r="K126" s="7"/>
      <c r="L126" s="7" t="s">
        <v>168</v>
      </c>
      <c r="M126" s="7" t="s">
        <v>362</v>
      </c>
      <c r="N126" s="45">
        <v>43944</v>
      </c>
      <c r="P126" t="s">
        <v>705</v>
      </c>
      <c r="Q126" s="2">
        <v>6245</v>
      </c>
      <c r="S126" s="2" t="s">
        <v>791</v>
      </c>
    </row>
    <row r="127" spans="1:19" x14ac:dyDescent="0.3">
      <c r="A127" s="6" t="s">
        <v>351</v>
      </c>
      <c r="B127" s="6" t="s">
        <v>378</v>
      </c>
      <c r="C127" s="48">
        <v>3</v>
      </c>
      <c r="D127" s="6"/>
      <c r="E127" s="7" t="s">
        <v>54</v>
      </c>
      <c r="F127" s="7" t="s">
        <v>52</v>
      </c>
      <c r="G127" s="12" t="s">
        <v>187</v>
      </c>
      <c r="H127" s="13"/>
      <c r="I127" s="44">
        <v>59.52</v>
      </c>
      <c r="J127" s="12" t="s">
        <v>322</v>
      </c>
      <c r="K127" s="7"/>
      <c r="L127" s="7" t="s">
        <v>168</v>
      </c>
      <c r="M127" s="7" t="s">
        <v>362</v>
      </c>
      <c r="N127" s="45">
        <v>43930</v>
      </c>
      <c r="P127" t="s">
        <v>695</v>
      </c>
      <c r="Q127" s="2">
        <v>6246</v>
      </c>
      <c r="S127" s="2" t="s">
        <v>802</v>
      </c>
    </row>
    <row r="128" spans="1:19" x14ac:dyDescent="0.3">
      <c r="A128" s="6" t="s">
        <v>351</v>
      </c>
      <c r="B128" s="6" t="s">
        <v>378</v>
      </c>
      <c r="C128" s="48">
        <v>4</v>
      </c>
      <c r="D128" s="6"/>
      <c r="E128" s="7" t="s">
        <v>54</v>
      </c>
      <c r="F128" s="7" t="s">
        <v>52</v>
      </c>
      <c r="G128" s="12" t="s">
        <v>187</v>
      </c>
      <c r="H128" s="44"/>
      <c r="I128" s="44">
        <v>79.36</v>
      </c>
      <c r="J128" s="12" t="s">
        <v>322</v>
      </c>
      <c r="K128" s="7"/>
      <c r="L128" s="7" t="s">
        <v>168</v>
      </c>
      <c r="M128" s="7" t="s">
        <v>362</v>
      </c>
      <c r="N128" s="45">
        <v>43931</v>
      </c>
      <c r="P128" t="s">
        <v>695</v>
      </c>
      <c r="Q128" s="2">
        <v>6246</v>
      </c>
      <c r="S128" s="2" t="s">
        <v>802</v>
      </c>
    </row>
    <row r="129" spans="1:19" x14ac:dyDescent="0.3">
      <c r="A129" s="6" t="s">
        <v>351</v>
      </c>
      <c r="B129" s="6" t="s">
        <v>378</v>
      </c>
      <c r="C129" s="48">
        <v>6</v>
      </c>
      <c r="D129" s="6"/>
      <c r="E129" s="7" t="s">
        <v>54</v>
      </c>
      <c r="F129" s="7" t="s">
        <v>52</v>
      </c>
      <c r="G129" s="12" t="s">
        <v>187</v>
      </c>
      <c r="H129" s="13"/>
      <c r="I129" s="44">
        <v>119.04</v>
      </c>
      <c r="J129" s="12" t="s">
        <v>322</v>
      </c>
      <c r="K129" s="7"/>
      <c r="L129" s="7" t="s">
        <v>168</v>
      </c>
      <c r="M129" s="7" t="s">
        <v>362</v>
      </c>
      <c r="N129" s="45">
        <v>43931</v>
      </c>
      <c r="P129" t="s">
        <v>695</v>
      </c>
      <c r="Q129" s="2">
        <v>6246</v>
      </c>
      <c r="S129" s="2" t="s">
        <v>802</v>
      </c>
    </row>
    <row r="130" spans="1:19" x14ac:dyDescent="0.3">
      <c r="A130" s="6" t="s">
        <v>222</v>
      </c>
      <c r="B130" s="6" t="s">
        <v>13</v>
      </c>
      <c r="C130" s="43" t="s">
        <v>205</v>
      </c>
      <c r="D130" s="6" t="s">
        <v>223</v>
      </c>
      <c r="E130" s="7" t="s">
        <v>54</v>
      </c>
      <c r="F130" s="7" t="s">
        <v>52</v>
      </c>
      <c r="G130" s="12" t="s">
        <v>187</v>
      </c>
      <c r="H130" s="13"/>
      <c r="I130" s="44">
        <v>11.7</v>
      </c>
      <c r="J130" s="12" t="s">
        <v>55</v>
      </c>
      <c r="K130" s="7"/>
      <c r="L130" s="7" t="s">
        <v>168</v>
      </c>
      <c r="M130" s="7" t="s">
        <v>362</v>
      </c>
      <c r="N130" s="45">
        <v>43928</v>
      </c>
      <c r="P130" t="s">
        <v>705</v>
      </c>
      <c r="Q130" s="2">
        <v>6245</v>
      </c>
      <c r="S130" s="2" t="s">
        <v>791</v>
      </c>
    </row>
    <row r="131" spans="1:19" x14ac:dyDescent="0.3">
      <c r="A131" s="6" t="s">
        <v>232</v>
      </c>
      <c r="B131" s="6" t="s">
        <v>13</v>
      </c>
      <c r="C131" s="43" t="s">
        <v>233</v>
      </c>
      <c r="D131" s="6" t="s">
        <v>234</v>
      </c>
      <c r="E131" s="7" t="s">
        <v>54</v>
      </c>
      <c r="F131" s="7" t="s">
        <v>52</v>
      </c>
      <c r="G131" s="12" t="s">
        <v>235</v>
      </c>
      <c r="H131" s="13"/>
      <c r="I131" s="44">
        <v>685.24</v>
      </c>
      <c r="J131" s="12" t="s">
        <v>55</v>
      </c>
      <c r="K131" s="7"/>
      <c r="L131" s="7" t="s">
        <v>168</v>
      </c>
      <c r="M131" s="7" t="s">
        <v>362</v>
      </c>
      <c r="N131" s="45">
        <v>43928</v>
      </c>
      <c r="P131" t="s">
        <v>700</v>
      </c>
      <c r="Q131" s="2">
        <v>6246</v>
      </c>
      <c r="S131" s="2" t="s">
        <v>802</v>
      </c>
    </row>
    <row r="132" spans="1:19" x14ac:dyDescent="0.3">
      <c r="A132" s="6" t="s">
        <v>238</v>
      </c>
      <c r="B132" s="6" t="s">
        <v>13</v>
      </c>
      <c r="C132" s="43">
        <v>48</v>
      </c>
      <c r="D132" s="6" t="s">
        <v>239</v>
      </c>
      <c r="E132" s="7" t="s">
        <v>54</v>
      </c>
      <c r="F132" s="7" t="s">
        <v>52</v>
      </c>
      <c r="G132" s="12" t="s">
        <v>237</v>
      </c>
      <c r="H132" s="13"/>
      <c r="I132" s="44">
        <v>375.87</v>
      </c>
      <c r="J132" s="12" t="s">
        <v>55</v>
      </c>
      <c r="K132" s="7"/>
      <c r="L132" s="7" t="s">
        <v>168</v>
      </c>
      <c r="M132" s="7" t="s">
        <v>362</v>
      </c>
      <c r="N132" s="45">
        <v>43929</v>
      </c>
      <c r="P132" t="s">
        <v>705</v>
      </c>
      <c r="Q132" s="2">
        <v>6246</v>
      </c>
      <c r="S132" s="2" t="s">
        <v>791</v>
      </c>
    </row>
    <row r="133" spans="1:19" x14ac:dyDescent="0.3">
      <c r="A133" s="6" t="s">
        <v>259</v>
      </c>
      <c r="B133" s="6" t="s">
        <v>13</v>
      </c>
      <c r="C133" s="43">
        <v>144</v>
      </c>
      <c r="D133" s="6"/>
      <c r="E133" s="7" t="s">
        <v>54</v>
      </c>
      <c r="F133" s="7" t="s">
        <v>52</v>
      </c>
      <c r="G133" s="12" t="s">
        <v>369</v>
      </c>
      <c r="H133" s="13"/>
      <c r="I133" s="44">
        <v>181.44</v>
      </c>
      <c r="J133" s="12" t="s">
        <v>55</v>
      </c>
      <c r="K133" s="7"/>
      <c r="L133" s="7" t="s">
        <v>168</v>
      </c>
      <c r="M133" s="7" t="s">
        <v>362</v>
      </c>
      <c r="N133" s="50">
        <v>43568</v>
      </c>
      <c r="P133" t="s">
        <v>699</v>
      </c>
      <c r="Q133" s="2">
        <v>6246</v>
      </c>
      <c r="S133" s="2" t="s">
        <v>802</v>
      </c>
    </row>
    <row r="134" spans="1:19" x14ac:dyDescent="0.3">
      <c r="A134" s="6" t="s">
        <v>241</v>
      </c>
      <c r="B134" s="6" t="s">
        <v>13</v>
      </c>
      <c r="C134" s="43">
        <v>9</v>
      </c>
      <c r="D134" s="6" t="s">
        <v>263</v>
      </c>
      <c r="E134" s="7" t="s">
        <v>54</v>
      </c>
      <c r="F134" s="7" t="s">
        <v>52</v>
      </c>
      <c r="G134" s="12" t="s">
        <v>262</v>
      </c>
      <c r="H134" s="13"/>
      <c r="I134" s="44">
        <v>359.91</v>
      </c>
      <c r="J134" s="12" t="s">
        <v>264</v>
      </c>
      <c r="K134" s="7"/>
      <c r="L134" s="7" t="s">
        <v>168</v>
      </c>
      <c r="M134" s="7" t="s">
        <v>362</v>
      </c>
      <c r="N134" s="45">
        <v>43942</v>
      </c>
      <c r="P134" t="s">
        <v>695</v>
      </c>
      <c r="Q134" s="2">
        <v>6246</v>
      </c>
      <c r="S134" s="2" t="s">
        <v>802</v>
      </c>
    </row>
    <row r="135" spans="1:19" x14ac:dyDescent="0.3">
      <c r="A135" s="6" t="s">
        <v>393</v>
      </c>
      <c r="B135" s="6" t="s">
        <v>13</v>
      </c>
      <c r="C135" s="43">
        <v>20</v>
      </c>
      <c r="D135" s="6" t="s">
        <v>395</v>
      </c>
      <c r="E135" s="7" t="s">
        <v>54</v>
      </c>
      <c r="F135" s="7" t="s">
        <v>52</v>
      </c>
      <c r="G135" s="12" t="s">
        <v>262</v>
      </c>
      <c r="H135" s="13"/>
      <c r="I135" s="13">
        <v>61.21</v>
      </c>
      <c r="J135" s="12" t="s">
        <v>264</v>
      </c>
      <c r="K135" s="7"/>
      <c r="L135" s="127" t="s">
        <v>168</v>
      </c>
      <c r="M135" s="7" t="s">
        <v>362</v>
      </c>
      <c r="N135" s="50">
        <v>43945</v>
      </c>
      <c r="P135" t="s">
        <v>703</v>
      </c>
      <c r="Q135" s="2">
        <v>6246</v>
      </c>
      <c r="S135" s="2" t="s">
        <v>802</v>
      </c>
    </row>
    <row r="136" spans="1:19" x14ac:dyDescent="0.3">
      <c r="A136" s="6" t="s">
        <v>393</v>
      </c>
      <c r="B136" s="6" t="s">
        <v>13</v>
      </c>
      <c r="C136" s="43">
        <v>480</v>
      </c>
      <c r="D136" s="6" t="s">
        <v>394</v>
      </c>
      <c r="E136" s="7" t="s">
        <v>54</v>
      </c>
      <c r="F136" s="7" t="s">
        <v>52</v>
      </c>
      <c r="G136" s="12" t="s">
        <v>262</v>
      </c>
      <c r="H136" s="13"/>
      <c r="I136" s="13">
        <v>1469.03</v>
      </c>
      <c r="J136" s="12" t="s">
        <v>264</v>
      </c>
      <c r="K136" s="7"/>
      <c r="L136" s="127" t="s">
        <v>168</v>
      </c>
      <c r="M136" s="7" t="s">
        <v>362</v>
      </c>
      <c r="N136" s="50">
        <v>43947</v>
      </c>
      <c r="P136" t="s">
        <v>703</v>
      </c>
      <c r="Q136" s="2">
        <v>6246</v>
      </c>
      <c r="S136" s="2" t="s">
        <v>802</v>
      </c>
    </row>
    <row r="137" spans="1:19" x14ac:dyDescent="0.3">
      <c r="A137" s="6" t="s">
        <v>271</v>
      </c>
      <c r="B137" s="6" t="s">
        <v>13</v>
      </c>
      <c r="C137" s="43">
        <v>62</v>
      </c>
      <c r="D137" s="6"/>
      <c r="E137" s="7" t="s">
        <v>54</v>
      </c>
      <c r="F137" s="7" t="s">
        <v>52</v>
      </c>
      <c r="G137" s="12" t="s">
        <v>360</v>
      </c>
      <c r="H137" s="13"/>
      <c r="I137" s="44">
        <v>62</v>
      </c>
      <c r="J137" s="12" t="s">
        <v>243</v>
      </c>
      <c r="K137" s="7"/>
      <c r="L137" s="7" t="s">
        <v>168</v>
      </c>
      <c r="M137" s="7" t="s">
        <v>362</v>
      </c>
      <c r="N137" s="45">
        <v>43934</v>
      </c>
      <c r="P137" t="s">
        <v>705</v>
      </c>
      <c r="Q137" s="2">
        <v>6246</v>
      </c>
      <c r="S137" s="2" t="s">
        <v>791</v>
      </c>
    </row>
    <row r="138" spans="1:19" x14ac:dyDescent="0.3">
      <c r="A138" s="6" t="s">
        <v>271</v>
      </c>
      <c r="B138" s="6" t="s">
        <v>13</v>
      </c>
      <c r="C138" s="43">
        <v>59</v>
      </c>
      <c r="D138" s="6"/>
      <c r="E138" s="7" t="s">
        <v>54</v>
      </c>
      <c r="F138" s="7" t="s">
        <v>52</v>
      </c>
      <c r="G138" s="12" t="s">
        <v>360</v>
      </c>
      <c r="H138" s="13"/>
      <c r="I138" s="44">
        <v>59</v>
      </c>
      <c r="J138" s="12" t="s">
        <v>243</v>
      </c>
      <c r="K138" s="7"/>
      <c r="L138" s="7" t="s">
        <v>168</v>
      </c>
      <c r="M138" s="7" t="s">
        <v>362</v>
      </c>
      <c r="N138" s="45">
        <v>43950</v>
      </c>
      <c r="P138" t="s">
        <v>705</v>
      </c>
      <c r="Q138" s="2">
        <v>6246</v>
      </c>
      <c r="S138" s="2" t="s">
        <v>791</v>
      </c>
    </row>
    <row r="139" spans="1:19" x14ac:dyDescent="0.3">
      <c r="A139" s="6" t="s">
        <v>204</v>
      </c>
      <c r="B139" s="6" t="s">
        <v>195</v>
      </c>
      <c r="C139" s="43" t="s">
        <v>205</v>
      </c>
      <c r="D139" s="6" t="s">
        <v>209</v>
      </c>
      <c r="E139" s="7" t="s">
        <v>54</v>
      </c>
      <c r="F139" s="7" t="s">
        <v>52</v>
      </c>
      <c r="G139" s="12" t="s">
        <v>206</v>
      </c>
      <c r="H139" s="13"/>
      <c r="I139" s="44">
        <v>879.84</v>
      </c>
      <c r="J139" s="12" t="s">
        <v>203</v>
      </c>
      <c r="K139" s="7"/>
      <c r="L139" s="7" t="s">
        <v>168</v>
      </c>
      <c r="M139" s="7" t="s">
        <v>362</v>
      </c>
      <c r="N139" s="45">
        <v>43930</v>
      </c>
      <c r="P139" t="s">
        <v>705</v>
      </c>
      <c r="Q139" s="2">
        <v>6246</v>
      </c>
      <c r="S139" s="2" t="s">
        <v>791</v>
      </c>
    </row>
    <row r="140" spans="1:19" x14ac:dyDescent="0.3">
      <c r="A140" s="6" t="s">
        <v>207</v>
      </c>
      <c r="B140" s="6" t="s">
        <v>195</v>
      </c>
      <c r="C140" s="43" t="s">
        <v>208</v>
      </c>
      <c r="D140" s="6" t="s">
        <v>210</v>
      </c>
      <c r="E140" s="7" t="s">
        <v>54</v>
      </c>
      <c r="F140" s="7" t="s">
        <v>52</v>
      </c>
      <c r="G140" s="12" t="s">
        <v>206</v>
      </c>
      <c r="H140" s="13"/>
      <c r="I140" s="44">
        <v>923.4</v>
      </c>
      <c r="J140" s="12" t="s">
        <v>203</v>
      </c>
      <c r="K140" s="7"/>
      <c r="L140" s="7" t="s">
        <v>168</v>
      </c>
      <c r="M140" s="7" t="s">
        <v>362</v>
      </c>
      <c r="N140" s="45">
        <v>43930</v>
      </c>
      <c r="P140" t="s">
        <v>705</v>
      </c>
      <c r="Q140" s="2">
        <v>6246</v>
      </c>
      <c r="S140" s="2" t="s">
        <v>791</v>
      </c>
    </row>
    <row r="141" spans="1:19" x14ac:dyDescent="0.3">
      <c r="A141" s="6" t="s">
        <v>384</v>
      </c>
      <c r="B141" s="6" t="s">
        <v>13</v>
      </c>
      <c r="C141" s="43" t="s">
        <v>385</v>
      </c>
      <c r="D141" s="6" t="s">
        <v>386</v>
      </c>
      <c r="E141" s="7" t="s">
        <v>54</v>
      </c>
      <c r="F141" s="7" t="s">
        <v>52</v>
      </c>
      <c r="G141" s="12" t="s">
        <v>187</v>
      </c>
      <c r="H141" s="13"/>
      <c r="I141" s="44">
        <v>10.199999999999999</v>
      </c>
      <c r="J141" s="12" t="s">
        <v>245</v>
      </c>
      <c r="K141" s="7"/>
      <c r="L141" s="7" t="s">
        <v>168</v>
      </c>
      <c r="M141" s="7" t="s">
        <v>362</v>
      </c>
      <c r="N141" s="50">
        <v>43969</v>
      </c>
      <c r="P141" t="s">
        <v>705</v>
      </c>
      <c r="Q141" s="2">
        <v>6245</v>
      </c>
      <c r="S141" s="2" t="s">
        <v>791</v>
      </c>
    </row>
    <row r="142" spans="1:19" x14ac:dyDescent="0.3">
      <c r="A142" s="6" t="s">
        <v>387</v>
      </c>
      <c r="B142" s="6" t="s">
        <v>13</v>
      </c>
      <c r="C142" s="43"/>
      <c r="D142" s="6" t="s">
        <v>386</v>
      </c>
      <c r="E142" s="7" t="s">
        <v>54</v>
      </c>
      <c r="F142" s="7" t="s">
        <v>52</v>
      </c>
      <c r="G142" s="12" t="s">
        <v>169</v>
      </c>
      <c r="H142" s="13"/>
      <c r="I142" s="44">
        <v>42.95</v>
      </c>
      <c r="J142" s="12" t="s">
        <v>245</v>
      </c>
      <c r="K142" s="7"/>
      <c r="L142" s="7" t="s">
        <v>168</v>
      </c>
      <c r="M142" s="7" t="s">
        <v>362</v>
      </c>
      <c r="N142" s="50">
        <v>43969</v>
      </c>
      <c r="P142" t="s">
        <v>705</v>
      </c>
      <c r="Q142" s="2">
        <v>6245</v>
      </c>
      <c r="S142" s="2" t="s">
        <v>791</v>
      </c>
    </row>
    <row r="143" spans="1:19" x14ac:dyDescent="0.3">
      <c r="A143" s="6" t="s">
        <v>376</v>
      </c>
      <c r="B143" s="6" t="s">
        <v>370</v>
      </c>
      <c r="C143" s="43">
        <v>1</v>
      </c>
      <c r="D143" s="6"/>
      <c r="E143" s="7" t="s">
        <v>54</v>
      </c>
      <c r="F143" s="7" t="s">
        <v>52</v>
      </c>
      <c r="G143" s="12" t="s">
        <v>262</v>
      </c>
      <c r="H143" s="13"/>
      <c r="I143" s="44">
        <v>46.44</v>
      </c>
      <c r="J143" s="12" t="s">
        <v>322</v>
      </c>
      <c r="K143" s="7"/>
      <c r="L143" s="7" t="s">
        <v>168</v>
      </c>
      <c r="M143" s="7" t="s">
        <v>362</v>
      </c>
      <c r="N143" s="50">
        <v>43962</v>
      </c>
      <c r="P143" t="s">
        <v>695</v>
      </c>
      <c r="Q143" s="2">
        <v>6246</v>
      </c>
      <c r="S143" s="2" t="s">
        <v>802</v>
      </c>
    </row>
    <row r="144" spans="1:19" x14ac:dyDescent="0.3">
      <c r="A144" s="6" t="s">
        <v>368</v>
      </c>
      <c r="B144" s="6" t="s">
        <v>370</v>
      </c>
      <c r="C144" s="43">
        <v>5</v>
      </c>
      <c r="D144" s="6"/>
      <c r="E144" s="7" t="s">
        <v>54</v>
      </c>
      <c r="F144" s="7" t="s">
        <v>52</v>
      </c>
      <c r="G144" s="12" t="s">
        <v>262</v>
      </c>
      <c r="H144" s="13"/>
      <c r="I144" s="44">
        <v>232.2</v>
      </c>
      <c r="J144" s="12" t="s">
        <v>322</v>
      </c>
      <c r="K144" s="7"/>
      <c r="L144" s="7" t="s">
        <v>168</v>
      </c>
      <c r="M144" s="7" t="s">
        <v>362</v>
      </c>
      <c r="N144" s="50">
        <v>43965</v>
      </c>
      <c r="P144" t="s">
        <v>695</v>
      </c>
      <c r="Q144" s="2">
        <v>6246</v>
      </c>
      <c r="S144" s="2" t="s">
        <v>802</v>
      </c>
    </row>
    <row r="145" spans="1:19" x14ac:dyDescent="0.3">
      <c r="A145" s="6" t="s">
        <v>191</v>
      </c>
      <c r="B145" s="6" t="s">
        <v>370</v>
      </c>
      <c r="C145" s="43">
        <v>20</v>
      </c>
      <c r="D145" s="6" t="s">
        <v>371</v>
      </c>
      <c r="E145" s="7" t="s">
        <v>54</v>
      </c>
      <c r="F145" s="7" t="s">
        <v>52</v>
      </c>
      <c r="G145" s="12" t="s">
        <v>262</v>
      </c>
      <c r="H145" s="13"/>
      <c r="I145" s="44">
        <v>279.8</v>
      </c>
      <c r="J145" s="12" t="s">
        <v>322</v>
      </c>
      <c r="K145" s="7"/>
      <c r="L145" s="7" t="s">
        <v>168</v>
      </c>
      <c r="M145" s="7" t="s">
        <v>362</v>
      </c>
      <c r="N145" s="50">
        <v>43964</v>
      </c>
      <c r="P145" t="s">
        <v>701</v>
      </c>
      <c r="Q145" s="2">
        <v>6246</v>
      </c>
      <c r="S145" s="2" t="s">
        <v>802</v>
      </c>
    </row>
    <row r="146" spans="1:19" x14ac:dyDescent="0.3">
      <c r="A146" s="6" t="s">
        <v>236</v>
      </c>
      <c r="B146" s="6" t="s">
        <v>370</v>
      </c>
      <c r="C146" s="43">
        <v>24</v>
      </c>
      <c r="D146" s="6" t="s">
        <v>372</v>
      </c>
      <c r="E146" s="7" t="s">
        <v>54</v>
      </c>
      <c r="F146" s="7" t="s">
        <v>52</v>
      </c>
      <c r="G146" s="12" t="s">
        <v>262</v>
      </c>
      <c r="H146" s="13"/>
      <c r="I146" s="44">
        <v>96</v>
      </c>
      <c r="J146" s="12" t="s">
        <v>322</v>
      </c>
      <c r="K146" s="7"/>
      <c r="L146" s="7" t="s">
        <v>168</v>
      </c>
      <c r="M146" s="7" t="s">
        <v>362</v>
      </c>
      <c r="N146" s="50">
        <v>43961</v>
      </c>
      <c r="P146" t="s">
        <v>702</v>
      </c>
      <c r="Q146" s="2">
        <v>6246</v>
      </c>
      <c r="S146" s="2" t="s">
        <v>802</v>
      </c>
    </row>
    <row r="147" spans="1:19" x14ac:dyDescent="0.3">
      <c r="A147" s="6" t="s">
        <v>373</v>
      </c>
      <c r="B147" s="6" t="s">
        <v>370</v>
      </c>
      <c r="C147" s="43">
        <v>7</v>
      </c>
      <c r="D147" s="6" t="s">
        <v>375</v>
      </c>
      <c r="E147" s="7" t="s">
        <v>54</v>
      </c>
      <c r="F147" s="7" t="s">
        <v>52</v>
      </c>
      <c r="G147" s="12" t="s">
        <v>262</v>
      </c>
      <c r="H147" s="13"/>
      <c r="I147" s="44">
        <v>36.25</v>
      </c>
      <c r="J147" s="12" t="s">
        <v>322</v>
      </c>
      <c r="K147" s="7"/>
      <c r="L147" s="7" t="s">
        <v>168</v>
      </c>
      <c r="M147" s="7" t="s">
        <v>362</v>
      </c>
      <c r="N147" s="50">
        <v>43961</v>
      </c>
      <c r="P147" t="s">
        <v>702</v>
      </c>
      <c r="Q147" s="2">
        <v>6246</v>
      </c>
      <c r="S147" s="2" t="s">
        <v>802</v>
      </c>
    </row>
    <row r="148" spans="1:19" x14ac:dyDescent="0.3">
      <c r="A148" s="6" t="s">
        <v>373</v>
      </c>
      <c r="B148" s="6" t="s">
        <v>370</v>
      </c>
      <c r="C148" s="43">
        <v>8</v>
      </c>
      <c r="D148" s="6" t="s">
        <v>374</v>
      </c>
      <c r="E148" s="7" t="s">
        <v>54</v>
      </c>
      <c r="F148" s="7" t="s">
        <v>52</v>
      </c>
      <c r="G148" s="12" t="s">
        <v>262</v>
      </c>
      <c r="H148" s="13"/>
      <c r="I148" s="44">
        <v>209.36</v>
      </c>
      <c r="J148" s="12" t="s">
        <v>322</v>
      </c>
      <c r="K148" s="7"/>
      <c r="L148" s="7" t="s">
        <v>168</v>
      </c>
      <c r="M148" s="7" t="s">
        <v>362</v>
      </c>
      <c r="N148" s="50">
        <v>43963</v>
      </c>
      <c r="P148" t="s">
        <v>702</v>
      </c>
      <c r="Q148" s="2">
        <v>6246</v>
      </c>
      <c r="S148" s="2" t="s">
        <v>802</v>
      </c>
    </row>
    <row r="149" spans="1:19" x14ac:dyDescent="0.3">
      <c r="A149" s="6" t="s">
        <v>191</v>
      </c>
      <c r="B149" s="6" t="s">
        <v>370</v>
      </c>
      <c r="C149" s="43">
        <v>20</v>
      </c>
      <c r="D149" s="6" t="s">
        <v>371</v>
      </c>
      <c r="E149" s="7" t="s">
        <v>54</v>
      </c>
      <c r="F149" s="7" t="s">
        <v>52</v>
      </c>
      <c r="G149" s="12" t="s">
        <v>262</v>
      </c>
      <c r="H149" s="13"/>
      <c r="I149" s="44">
        <v>279.8</v>
      </c>
      <c r="J149" s="12" t="s">
        <v>322</v>
      </c>
      <c r="K149" s="7"/>
      <c r="L149" s="7" t="s">
        <v>168</v>
      </c>
      <c r="M149" s="7" t="s">
        <v>362</v>
      </c>
      <c r="N149" s="50">
        <v>43960</v>
      </c>
      <c r="P149" t="s">
        <v>701</v>
      </c>
      <c r="Q149" s="2">
        <v>6246</v>
      </c>
      <c r="S149" s="2" t="s">
        <v>802</v>
      </c>
    </row>
    <row r="150" spans="1:19" x14ac:dyDescent="0.3">
      <c r="A150" s="6" t="s">
        <v>191</v>
      </c>
      <c r="B150" s="6" t="s">
        <v>370</v>
      </c>
      <c r="C150" s="43">
        <v>30</v>
      </c>
      <c r="D150" s="6" t="s">
        <v>413</v>
      </c>
      <c r="E150" s="7" t="s">
        <v>54</v>
      </c>
      <c r="F150" s="7" t="s">
        <v>52</v>
      </c>
      <c r="G150" s="12" t="s">
        <v>262</v>
      </c>
      <c r="H150" s="13"/>
      <c r="I150" s="44">
        <v>282.60000000000002</v>
      </c>
      <c r="J150" s="12" t="s">
        <v>322</v>
      </c>
      <c r="K150" s="7"/>
      <c r="L150" s="7" t="s">
        <v>168</v>
      </c>
      <c r="M150" s="7" t="s">
        <v>362</v>
      </c>
      <c r="N150" s="50">
        <v>43970</v>
      </c>
      <c r="P150" t="s">
        <v>705</v>
      </c>
      <c r="Q150" s="2">
        <v>6246</v>
      </c>
      <c r="S150" s="2" t="s">
        <v>791</v>
      </c>
    </row>
    <row r="151" spans="1:19" x14ac:dyDescent="0.3">
      <c r="A151" s="6" t="s">
        <v>191</v>
      </c>
      <c r="B151" s="6" t="s">
        <v>370</v>
      </c>
      <c r="C151" s="43">
        <v>10</v>
      </c>
      <c r="D151" s="6" t="s">
        <v>412</v>
      </c>
      <c r="E151" s="7" t="s">
        <v>54</v>
      </c>
      <c r="F151" s="7" t="s">
        <v>52</v>
      </c>
      <c r="G151" s="12" t="s">
        <v>262</v>
      </c>
      <c r="H151" s="13"/>
      <c r="I151" s="44">
        <v>246.6</v>
      </c>
      <c r="J151" s="12" t="s">
        <v>322</v>
      </c>
      <c r="K151" s="7"/>
      <c r="L151" s="7" t="s">
        <v>168</v>
      </c>
      <c r="M151" s="7" t="s">
        <v>362</v>
      </c>
      <c r="N151" s="50">
        <v>43971</v>
      </c>
      <c r="P151" t="s">
        <v>705</v>
      </c>
      <c r="Q151" s="2">
        <v>6246</v>
      </c>
      <c r="S151" s="2" t="s">
        <v>791</v>
      </c>
    </row>
    <row r="152" spans="1:19" x14ac:dyDescent="0.3">
      <c r="A152" s="6" t="s">
        <v>558</v>
      </c>
      <c r="B152" s="6" t="s">
        <v>370</v>
      </c>
      <c r="C152" s="48" t="s">
        <v>557</v>
      </c>
      <c r="D152" s="6" t="s">
        <v>556</v>
      </c>
      <c r="E152" s="7" t="s">
        <v>54</v>
      </c>
      <c r="F152" s="7" t="s">
        <v>52</v>
      </c>
      <c r="G152" s="12" t="s">
        <v>262</v>
      </c>
      <c r="H152" s="13"/>
      <c r="I152" s="44">
        <v>20.53</v>
      </c>
      <c r="J152" s="12" t="s">
        <v>322</v>
      </c>
      <c r="K152" s="7"/>
      <c r="L152" s="130" t="s">
        <v>168</v>
      </c>
      <c r="M152" s="7" t="s">
        <v>362</v>
      </c>
      <c r="N152" s="50">
        <v>43977</v>
      </c>
      <c r="P152" t="s">
        <v>705</v>
      </c>
      <c r="Q152" s="2">
        <v>6246</v>
      </c>
      <c r="S152" s="2" t="s">
        <v>791</v>
      </c>
    </row>
    <row r="153" spans="1:19" x14ac:dyDescent="0.3">
      <c r="A153" s="6" t="s">
        <v>558</v>
      </c>
      <c r="B153" s="6" t="s">
        <v>370</v>
      </c>
      <c r="C153" s="48" t="s">
        <v>560</v>
      </c>
      <c r="D153" s="6" t="s">
        <v>559</v>
      </c>
      <c r="E153" s="7" t="s">
        <v>54</v>
      </c>
      <c r="F153" s="7" t="s">
        <v>52</v>
      </c>
      <c r="G153" s="12" t="s">
        <v>262</v>
      </c>
      <c r="H153" s="13"/>
      <c r="I153" s="44">
        <v>42.63</v>
      </c>
      <c r="J153" s="12" t="s">
        <v>322</v>
      </c>
      <c r="K153" s="7"/>
      <c r="L153" s="130" t="s">
        <v>168</v>
      </c>
      <c r="M153" s="7" t="s">
        <v>362</v>
      </c>
      <c r="N153" s="50">
        <v>43977</v>
      </c>
      <c r="P153" t="s">
        <v>705</v>
      </c>
      <c r="Q153" s="2">
        <v>6246</v>
      </c>
      <c r="S153" s="2" t="s">
        <v>791</v>
      </c>
    </row>
    <row r="154" spans="1:19" x14ac:dyDescent="0.3">
      <c r="A154" s="6" t="s">
        <v>191</v>
      </c>
      <c r="B154" s="6" t="s">
        <v>370</v>
      </c>
      <c r="C154" s="43">
        <v>1</v>
      </c>
      <c r="D154" s="6" t="s">
        <v>514</v>
      </c>
      <c r="E154" s="7" t="s">
        <v>54</v>
      </c>
      <c r="F154" s="7" t="s">
        <v>52</v>
      </c>
      <c r="G154" s="12" t="s">
        <v>262</v>
      </c>
      <c r="H154" s="13"/>
      <c r="I154" s="44">
        <v>10.65</v>
      </c>
      <c r="J154" s="12" t="s">
        <v>322</v>
      </c>
      <c r="K154" s="7"/>
      <c r="L154" s="7" t="s">
        <v>168</v>
      </c>
      <c r="M154" s="7" t="s">
        <v>362</v>
      </c>
      <c r="N154" s="50">
        <v>43980</v>
      </c>
      <c r="P154" t="s">
        <v>701</v>
      </c>
      <c r="Q154" s="2">
        <v>6246</v>
      </c>
      <c r="S154" s="2" t="s">
        <v>802</v>
      </c>
    </row>
    <row r="155" spans="1:19" x14ac:dyDescent="0.3">
      <c r="A155" s="6" t="s">
        <v>511</v>
      </c>
      <c r="B155" s="6" t="s">
        <v>370</v>
      </c>
      <c r="C155" s="43">
        <v>10</v>
      </c>
      <c r="D155" s="6" t="s">
        <v>513</v>
      </c>
      <c r="E155" s="7" t="s">
        <v>54</v>
      </c>
      <c r="F155" s="7" t="s">
        <v>52</v>
      </c>
      <c r="G155" s="12" t="s">
        <v>262</v>
      </c>
      <c r="H155" s="13"/>
      <c r="I155" s="44">
        <v>154.69999999999999</v>
      </c>
      <c r="J155" s="12" t="s">
        <v>322</v>
      </c>
      <c r="K155" s="7"/>
      <c r="L155" s="7" t="s">
        <v>168</v>
      </c>
      <c r="M155" s="7" t="s">
        <v>362</v>
      </c>
      <c r="N155" s="50">
        <v>43981</v>
      </c>
      <c r="P155" t="s">
        <v>705</v>
      </c>
      <c r="Q155" s="2">
        <v>6246</v>
      </c>
      <c r="S155" s="2" t="s">
        <v>791</v>
      </c>
    </row>
    <row r="156" spans="1:19" x14ac:dyDescent="0.3">
      <c r="A156" s="6" t="s">
        <v>562</v>
      </c>
      <c r="B156" s="6" t="s">
        <v>370</v>
      </c>
      <c r="C156" s="48">
        <v>5</v>
      </c>
      <c r="D156" s="6" t="s">
        <v>561</v>
      </c>
      <c r="E156" s="7" t="s">
        <v>54</v>
      </c>
      <c r="F156" s="7" t="s">
        <v>52</v>
      </c>
      <c r="G156" s="12" t="s">
        <v>262</v>
      </c>
      <c r="H156" s="13"/>
      <c r="I156" s="44">
        <v>248.7</v>
      </c>
      <c r="J156" s="12" t="s">
        <v>322</v>
      </c>
      <c r="K156" s="7"/>
      <c r="L156" s="130" t="s">
        <v>168</v>
      </c>
      <c r="M156" s="7" t="s">
        <v>362</v>
      </c>
      <c r="N156" s="50">
        <v>43977</v>
      </c>
      <c r="P156" t="s">
        <v>705</v>
      </c>
      <c r="Q156" s="2">
        <v>6246</v>
      </c>
      <c r="S156" s="2" t="s">
        <v>791</v>
      </c>
    </row>
    <row r="157" spans="1:19" x14ac:dyDescent="0.3">
      <c r="A157" s="6" t="s">
        <v>191</v>
      </c>
      <c r="B157" s="6" t="s">
        <v>370</v>
      </c>
      <c r="C157" s="48">
        <v>10</v>
      </c>
      <c r="D157" s="6" t="s">
        <v>555</v>
      </c>
      <c r="E157" s="7" t="s">
        <v>54</v>
      </c>
      <c r="F157" s="7" t="s">
        <v>52</v>
      </c>
      <c r="G157" s="12" t="s">
        <v>262</v>
      </c>
      <c r="H157" s="13"/>
      <c r="I157" s="44">
        <v>245.9</v>
      </c>
      <c r="J157" s="12" t="s">
        <v>322</v>
      </c>
      <c r="K157" s="7"/>
      <c r="L157" s="127" t="s">
        <v>168</v>
      </c>
      <c r="M157" s="7" t="s">
        <v>362</v>
      </c>
      <c r="N157" s="50">
        <v>43983</v>
      </c>
      <c r="P157" t="s">
        <v>705</v>
      </c>
      <c r="Q157" s="2">
        <v>6246</v>
      </c>
      <c r="S157" s="2" t="s">
        <v>791</v>
      </c>
    </row>
    <row r="158" spans="1:19" x14ac:dyDescent="0.3">
      <c r="A158" s="6" t="s">
        <v>191</v>
      </c>
      <c r="B158" s="6" t="s">
        <v>370</v>
      </c>
      <c r="C158" s="48">
        <v>5</v>
      </c>
      <c r="D158" s="6" t="s">
        <v>554</v>
      </c>
      <c r="E158" s="7" t="s">
        <v>54</v>
      </c>
      <c r="F158" s="7" t="s">
        <v>52</v>
      </c>
      <c r="G158" s="12" t="s">
        <v>262</v>
      </c>
      <c r="H158" s="13"/>
      <c r="I158" s="44">
        <v>201.7</v>
      </c>
      <c r="J158" s="12" t="s">
        <v>322</v>
      </c>
      <c r="K158" s="7"/>
      <c r="L158" s="127" t="s">
        <v>168</v>
      </c>
      <c r="M158" s="7" t="s">
        <v>362</v>
      </c>
      <c r="N158" s="50">
        <v>43983</v>
      </c>
      <c r="P158" t="s">
        <v>705</v>
      </c>
      <c r="Q158" s="2">
        <v>6246</v>
      </c>
      <c r="S158" s="2" t="s">
        <v>791</v>
      </c>
    </row>
    <row r="159" spans="1:19" x14ac:dyDescent="0.3">
      <c r="A159" s="6" t="s">
        <v>271</v>
      </c>
      <c r="B159" s="6" t="s">
        <v>13</v>
      </c>
      <c r="C159" s="48">
        <v>71</v>
      </c>
      <c r="D159" s="6"/>
      <c r="E159" s="7" t="s">
        <v>54</v>
      </c>
      <c r="F159" s="7" t="s">
        <v>52</v>
      </c>
      <c r="G159" s="12" t="s">
        <v>360</v>
      </c>
      <c r="H159" s="44"/>
      <c r="I159" s="44">
        <v>71</v>
      </c>
      <c r="J159" s="12" t="s">
        <v>55</v>
      </c>
      <c r="K159" s="7"/>
      <c r="L159" s="7" t="s">
        <v>168</v>
      </c>
      <c r="M159" s="7" t="s">
        <v>362</v>
      </c>
      <c r="N159" s="45">
        <v>43978</v>
      </c>
      <c r="P159" t="s">
        <v>705</v>
      </c>
      <c r="Q159" s="2">
        <v>6246</v>
      </c>
      <c r="S159" s="2" t="s">
        <v>791</v>
      </c>
    </row>
    <row r="160" spans="1:19" x14ac:dyDescent="0.3">
      <c r="A160" s="6" t="s">
        <v>376</v>
      </c>
      <c r="B160" s="6" t="s">
        <v>13</v>
      </c>
      <c r="C160" s="43">
        <v>1</v>
      </c>
      <c r="D160" s="6"/>
      <c r="E160" s="7" t="s">
        <v>54</v>
      </c>
      <c r="F160" s="7" t="s">
        <v>52</v>
      </c>
      <c r="G160" s="12" t="s">
        <v>262</v>
      </c>
      <c r="H160" s="13"/>
      <c r="I160" s="44">
        <v>62.97</v>
      </c>
      <c r="J160" s="12" t="s">
        <v>565</v>
      </c>
      <c r="K160" s="7"/>
      <c r="L160" s="7" t="s">
        <v>168</v>
      </c>
      <c r="M160" s="7" t="s">
        <v>362</v>
      </c>
      <c r="N160" s="50">
        <v>43962</v>
      </c>
      <c r="P160" t="s">
        <v>695</v>
      </c>
      <c r="Q160" s="2">
        <v>6246</v>
      </c>
      <c r="S160" s="2" t="s">
        <v>802</v>
      </c>
    </row>
    <row r="161" spans="1:19" x14ac:dyDescent="0.3">
      <c r="A161" s="6" t="s">
        <v>368</v>
      </c>
      <c r="B161" s="6" t="s">
        <v>13</v>
      </c>
      <c r="C161" s="43">
        <v>15</v>
      </c>
      <c r="D161" s="6"/>
      <c r="E161" s="7" t="s">
        <v>54</v>
      </c>
      <c r="F161" s="7" t="s">
        <v>52</v>
      </c>
      <c r="G161" s="12" t="s">
        <v>262</v>
      </c>
      <c r="H161" s="13"/>
      <c r="I161" s="44">
        <v>1486.2</v>
      </c>
      <c r="J161" s="12" t="s">
        <v>243</v>
      </c>
      <c r="K161" s="7"/>
      <c r="L161" s="7" t="s">
        <v>168</v>
      </c>
      <c r="M161" s="7" t="s">
        <v>362</v>
      </c>
      <c r="N161" s="50">
        <v>43957</v>
      </c>
      <c r="P161" t="s">
        <v>695</v>
      </c>
      <c r="Q161" s="2">
        <v>6246</v>
      </c>
      <c r="S161" s="2" t="s">
        <v>802</v>
      </c>
    </row>
    <row r="162" spans="1:19" x14ac:dyDescent="0.3">
      <c r="A162" s="6" t="s">
        <v>271</v>
      </c>
      <c r="B162" s="6" t="s">
        <v>13</v>
      </c>
      <c r="C162" s="43">
        <v>14</v>
      </c>
      <c r="D162" s="6"/>
      <c r="E162" s="7" t="s">
        <v>54</v>
      </c>
      <c r="F162" s="7" t="s">
        <v>52</v>
      </c>
      <c r="G162" s="12" t="s">
        <v>360</v>
      </c>
      <c r="H162" s="13"/>
      <c r="I162" s="44">
        <v>14</v>
      </c>
      <c r="J162" s="12" t="s">
        <v>243</v>
      </c>
      <c r="K162" s="7"/>
      <c r="L162" s="7" t="s">
        <v>168</v>
      </c>
      <c r="M162" s="7" t="s">
        <v>362</v>
      </c>
      <c r="N162" s="45">
        <v>43956</v>
      </c>
      <c r="P162" t="s">
        <v>705</v>
      </c>
      <c r="Q162" s="2">
        <v>6246</v>
      </c>
      <c r="S162" s="2" t="s">
        <v>791</v>
      </c>
    </row>
    <row r="163" spans="1:19" x14ac:dyDescent="0.3">
      <c r="A163" s="6" t="s">
        <v>366</v>
      </c>
      <c r="B163" s="6" t="s">
        <v>46</v>
      </c>
      <c r="C163" s="43"/>
      <c r="D163" s="6" t="s">
        <v>367</v>
      </c>
      <c r="E163" s="7" t="s">
        <v>54</v>
      </c>
      <c r="F163" s="7" t="s">
        <v>52</v>
      </c>
      <c r="G163" s="12" t="s">
        <v>169</v>
      </c>
      <c r="H163" s="13"/>
      <c r="I163" s="44">
        <v>55.15</v>
      </c>
      <c r="J163" s="12" t="s">
        <v>243</v>
      </c>
      <c r="K163" s="7"/>
      <c r="L163" s="7" t="s">
        <v>168</v>
      </c>
      <c r="M163" s="7" t="s">
        <v>362</v>
      </c>
      <c r="N163" s="50">
        <v>43957</v>
      </c>
      <c r="P163" t="s">
        <v>705</v>
      </c>
      <c r="Q163" s="2">
        <v>6246</v>
      </c>
      <c r="S163" s="2" t="s">
        <v>791</v>
      </c>
    </row>
    <row r="164" spans="1:19" x14ac:dyDescent="0.3">
      <c r="A164" s="6" t="s">
        <v>423</v>
      </c>
      <c r="B164" s="6" t="s">
        <v>195</v>
      </c>
      <c r="C164" s="43">
        <v>106</v>
      </c>
      <c r="D164" s="6"/>
      <c r="E164" s="7" t="s">
        <v>54</v>
      </c>
      <c r="F164" s="7" t="s">
        <v>52</v>
      </c>
      <c r="G164" s="12" t="s">
        <v>528</v>
      </c>
      <c r="H164" s="13"/>
      <c r="I164" s="44">
        <v>312.7</v>
      </c>
      <c r="J164" s="12" t="s">
        <v>203</v>
      </c>
      <c r="K164" s="7"/>
      <c r="L164" s="7" t="s">
        <v>168</v>
      </c>
      <c r="M164" s="7" t="s">
        <v>362</v>
      </c>
      <c r="N164" s="50">
        <v>43969</v>
      </c>
      <c r="P164" t="s">
        <v>703</v>
      </c>
      <c r="Q164" s="2">
        <v>6246</v>
      </c>
      <c r="S164" s="2" t="s">
        <v>802</v>
      </c>
    </row>
    <row r="165" spans="1:19" x14ac:dyDescent="0.3">
      <c r="A165" s="6" t="s">
        <v>191</v>
      </c>
      <c r="B165" s="6" t="s">
        <v>370</v>
      </c>
      <c r="C165" s="43">
        <v>3</v>
      </c>
      <c r="D165" s="6" t="s">
        <v>580</v>
      </c>
      <c r="E165" s="7" t="s">
        <v>54</v>
      </c>
      <c r="F165" s="7" t="s">
        <v>52</v>
      </c>
      <c r="G165" s="12" t="s">
        <v>262</v>
      </c>
      <c r="H165" s="13"/>
      <c r="I165" s="44">
        <v>70.92</v>
      </c>
      <c r="J165" s="12" t="s">
        <v>322</v>
      </c>
      <c r="K165" s="7"/>
      <c r="L165" s="7" t="s">
        <v>168</v>
      </c>
      <c r="M165" s="7" t="s">
        <v>362</v>
      </c>
      <c r="N165" s="50">
        <v>44008</v>
      </c>
      <c r="P165" t="s">
        <v>705</v>
      </c>
      <c r="Q165" s="2">
        <v>6246</v>
      </c>
      <c r="S165" s="2" t="s">
        <v>791</v>
      </c>
    </row>
    <row r="166" spans="1:19" x14ac:dyDescent="0.3">
      <c r="A166" s="6" t="s">
        <v>191</v>
      </c>
      <c r="B166" s="6" t="s">
        <v>370</v>
      </c>
      <c r="C166" s="43">
        <v>1</v>
      </c>
      <c r="D166" s="6" t="s">
        <v>581</v>
      </c>
      <c r="E166" s="7" t="s">
        <v>54</v>
      </c>
      <c r="F166" s="7" t="s">
        <v>52</v>
      </c>
      <c r="G166" s="12" t="s">
        <v>262</v>
      </c>
      <c r="H166" s="13"/>
      <c r="I166" s="44">
        <v>32.99</v>
      </c>
      <c r="J166" s="12" t="s">
        <v>322</v>
      </c>
      <c r="K166" s="7"/>
      <c r="L166" s="7" t="s">
        <v>168</v>
      </c>
      <c r="M166" s="7" t="s">
        <v>362</v>
      </c>
      <c r="N166" s="50">
        <v>44013</v>
      </c>
      <c r="P166" t="s">
        <v>701</v>
      </c>
      <c r="Q166" s="2">
        <v>6246</v>
      </c>
      <c r="S166" s="2" t="s">
        <v>802</v>
      </c>
    </row>
    <row r="167" spans="1:19" x14ac:dyDescent="0.3">
      <c r="A167" s="6" t="s">
        <v>582</v>
      </c>
      <c r="B167" s="6" t="s">
        <v>370</v>
      </c>
      <c r="C167" s="43">
        <v>200</v>
      </c>
      <c r="D167" s="6" t="s">
        <v>583</v>
      </c>
      <c r="E167" s="7" t="s">
        <v>54</v>
      </c>
      <c r="F167" s="7" t="s">
        <v>52</v>
      </c>
      <c r="G167" s="12" t="s">
        <v>262</v>
      </c>
      <c r="H167" s="13"/>
      <c r="I167" s="44">
        <v>1364.73</v>
      </c>
      <c r="J167" s="12" t="s">
        <v>322</v>
      </c>
      <c r="K167" s="7"/>
      <c r="L167" s="7" t="s">
        <v>168</v>
      </c>
      <c r="M167" s="7" t="s">
        <v>362</v>
      </c>
      <c r="N167" s="50">
        <v>44013</v>
      </c>
      <c r="P167" t="s">
        <v>704</v>
      </c>
      <c r="Q167" s="2">
        <v>6246</v>
      </c>
      <c r="S167" s="2" t="s">
        <v>802</v>
      </c>
    </row>
    <row r="168" spans="1:19" x14ac:dyDescent="0.3">
      <c r="A168" s="6" t="s">
        <v>191</v>
      </c>
      <c r="B168" s="6" t="s">
        <v>370</v>
      </c>
      <c r="C168" s="43">
        <v>20</v>
      </c>
      <c r="D168" s="6" t="s">
        <v>371</v>
      </c>
      <c r="E168" s="7" t="s">
        <v>54</v>
      </c>
      <c r="F168" s="7" t="s">
        <v>52</v>
      </c>
      <c r="G168" s="12" t="s">
        <v>262</v>
      </c>
      <c r="H168" s="13"/>
      <c r="I168" s="44">
        <v>244.8</v>
      </c>
      <c r="J168" s="12" t="s">
        <v>322</v>
      </c>
      <c r="K168" s="7"/>
      <c r="L168" s="7" t="s">
        <v>168</v>
      </c>
      <c r="M168" s="7" t="s">
        <v>362</v>
      </c>
      <c r="N168" s="50">
        <v>43985</v>
      </c>
      <c r="P168" t="s">
        <v>705</v>
      </c>
      <c r="Q168" s="2">
        <v>6246</v>
      </c>
      <c r="S168" s="2" t="s">
        <v>791</v>
      </c>
    </row>
    <row r="169" spans="1:19" x14ac:dyDescent="0.3">
      <c r="A169" s="6" t="s">
        <v>160</v>
      </c>
      <c r="B169" s="6" t="s">
        <v>370</v>
      </c>
      <c r="C169" s="43">
        <v>5</v>
      </c>
      <c r="D169" s="6" t="s">
        <v>515</v>
      </c>
      <c r="E169" s="7" t="s">
        <v>54</v>
      </c>
      <c r="F169" s="7" t="s">
        <v>52</v>
      </c>
      <c r="G169" s="12" t="s">
        <v>262</v>
      </c>
      <c r="H169" s="13"/>
      <c r="I169" s="44">
        <v>139.9</v>
      </c>
      <c r="J169" s="12" t="s">
        <v>322</v>
      </c>
      <c r="K169" s="7"/>
      <c r="L169" s="7" t="s">
        <v>168</v>
      </c>
      <c r="M169" s="7" t="s">
        <v>362</v>
      </c>
      <c r="N169" s="50">
        <v>43982</v>
      </c>
      <c r="P169" t="s">
        <v>705</v>
      </c>
      <c r="Q169" s="2">
        <v>6246</v>
      </c>
      <c r="S169" s="2" t="s">
        <v>791</v>
      </c>
    </row>
    <row r="170" spans="1:19" x14ac:dyDescent="0.3">
      <c r="A170" s="6" t="s">
        <v>511</v>
      </c>
      <c r="B170" s="6" t="s">
        <v>370</v>
      </c>
      <c r="C170" s="43">
        <v>12</v>
      </c>
      <c r="D170" s="6" t="s">
        <v>512</v>
      </c>
      <c r="E170" s="7" t="s">
        <v>54</v>
      </c>
      <c r="F170" s="7" t="s">
        <v>52</v>
      </c>
      <c r="G170" s="12" t="s">
        <v>262</v>
      </c>
      <c r="H170" s="13"/>
      <c r="I170" s="44">
        <v>116.79</v>
      </c>
      <c r="J170" s="12" t="s">
        <v>322</v>
      </c>
      <c r="K170" s="7"/>
      <c r="L170" s="7" t="s">
        <v>168</v>
      </c>
      <c r="M170" s="7" t="s">
        <v>362</v>
      </c>
      <c r="N170" s="50">
        <v>43988</v>
      </c>
      <c r="P170" t="s">
        <v>705</v>
      </c>
      <c r="Q170" s="2">
        <v>6246</v>
      </c>
      <c r="S170" s="2" t="s">
        <v>791</v>
      </c>
    </row>
    <row r="171" spans="1:19" x14ac:dyDescent="0.3">
      <c r="A171" s="6" t="s">
        <v>191</v>
      </c>
      <c r="B171" s="6" t="s">
        <v>370</v>
      </c>
      <c r="C171" s="43">
        <v>10</v>
      </c>
      <c r="D171" s="6" t="s">
        <v>412</v>
      </c>
      <c r="E171" s="7" t="s">
        <v>54</v>
      </c>
      <c r="F171" s="7" t="s">
        <v>52</v>
      </c>
      <c r="G171" s="12" t="s">
        <v>262</v>
      </c>
      <c r="H171" s="13"/>
      <c r="I171" s="44">
        <v>245.6</v>
      </c>
      <c r="J171" s="12" t="s">
        <v>322</v>
      </c>
      <c r="K171" s="7"/>
      <c r="L171" s="7" t="s">
        <v>168</v>
      </c>
      <c r="M171" s="7" t="s">
        <v>362</v>
      </c>
      <c r="N171" s="50">
        <v>43984</v>
      </c>
      <c r="P171" t="s">
        <v>705</v>
      </c>
      <c r="Q171" s="2">
        <v>6246</v>
      </c>
      <c r="S171" s="2" t="s">
        <v>791</v>
      </c>
    </row>
    <row r="172" spans="1:19" x14ac:dyDescent="0.3">
      <c r="A172" s="6" t="s">
        <v>160</v>
      </c>
      <c r="B172" s="6" t="s">
        <v>370</v>
      </c>
      <c r="C172" s="43">
        <v>5</v>
      </c>
      <c r="D172" s="6" t="s">
        <v>516</v>
      </c>
      <c r="E172" s="7" t="s">
        <v>54</v>
      </c>
      <c r="F172" s="7" t="s">
        <v>52</v>
      </c>
      <c r="G172" s="12" t="s">
        <v>262</v>
      </c>
      <c r="H172" s="13"/>
      <c r="I172" s="44">
        <v>207.45</v>
      </c>
      <c r="J172" s="12" t="s">
        <v>322</v>
      </c>
      <c r="K172" s="7"/>
      <c r="L172" s="7" t="s">
        <v>168</v>
      </c>
      <c r="M172" s="7" t="s">
        <v>362</v>
      </c>
      <c r="N172" s="50">
        <v>43988</v>
      </c>
      <c r="P172" t="s">
        <v>705</v>
      </c>
      <c r="Q172" s="2">
        <v>6246</v>
      </c>
      <c r="S172" s="2" t="s">
        <v>791</v>
      </c>
    </row>
    <row r="173" spans="1:19" x14ac:dyDescent="0.3">
      <c r="A173" s="6" t="s">
        <v>191</v>
      </c>
      <c r="B173" s="6" t="s">
        <v>370</v>
      </c>
      <c r="C173" s="48" t="s">
        <v>608</v>
      </c>
      <c r="D173" s="6" t="s">
        <v>585</v>
      </c>
      <c r="E173" s="7" t="s">
        <v>54</v>
      </c>
      <c r="F173" s="7" t="s">
        <v>52</v>
      </c>
      <c r="G173" s="12" t="s">
        <v>262</v>
      </c>
      <c r="H173" s="13"/>
      <c r="I173" s="44">
        <v>252.8</v>
      </c>
      <c r="J173" s="12" t="s">
        <v>322</v>
      </c>
      <c r="K173" s="7"/>
      <c r="L173" s="7" t="s">
        <v>168</v>
      </c>
      <c r="M173" s="7" t="s">
        <v>362</v>
      </c>
      <c r="N173" s="50">
        <v>44007</v>
      </c>
      <c r="P173" t="s">
        <v>705</v>
      </c>
      <c r="Q173" s="2">
        <v>6246</v>
      </c>
      <c r="S173" s="2" t="s">
        <v>791</v>
      </c>
    </row>
    <row r="174" spans="1:19" x14ac:dyDescent="0.3">
      <c r="A174" s="6" t="s">
        <v>582</v>
      </c>
      <c r="B174" s="6" t="s">
        <v>370</v>
      </c>
      <c r="C174" s="43">
        <v>240</v>
      </c>
      <c r="D174" s="6" t="s">
        <v>584</v>
      </c>
      <c r="E174" s="7" t="s">
        <v>54</v>
      </c>
      <c r="F174" s="7" t="s">
        <v>52</v>
      </c>
      <c r="G174" s="12" t="s">
        <v>262</v>
      </c>
      <c r="H174" s="13"/>
      <c r="I174" s="44">
        <v>1440</v>
      </c>
      <c r="J174" s="12" t="s">
        <v>322</v>
      </c>
      <c r="K174" s="7"/>
      <c r="L174" s="7" t="s">
        <v>168</v>
      </c>
      <c r="M174" s="7" t="s">
        <v>362</v>
      </c>
      <c r="N174" s="50">
        <v>44012</v>
      </c>
      <c r="P174" t="s">
        <v>704</v>
      </c>
      <c r="Q174" s="2">
        <v>6246</v>
      </c>
      <c r="S174" s="2" t="s">
        <v>802</v>
      </c>
    </row>
    <row r="175" spans="1:19" x14ac:dyDescent="0.3">
      <c r="A175" s="6" t="s">
        <v>505</v>
      </c>
      <c r="B175" s="6" t="s">
        <v>195</v>
      </c>
      <c r="C175" s="43">
        <v>2</v>
      </c>
      <c r="D175" s="6"/>
      <c r="E175" s="7" t="s">
        <v>54</v>
      </c>
      <c r="F175" s="7" t="s">
        <v>52</v>
      </c>
      <c r="G175" s="12" t="s">
        <v>504</v>
      </c>
      <c r="H175" s="13"/>
      <c r="I175" s="44">
        <v>21.53</v>
      </c>
      <c r="J175" s="12" t="s">
        <v>182</v>
      </c>
      <c r="K175" s="7"/>
      <c r="L175" s="7" t="s">
        <v>168</v>
      </c>
      <c r="M175" s="7" t="s">
        <v>362</v>
      </c>
      <c r="N175" s="50">
        <v>43992</v>
      </c>
      <c r="P175" t="s">
        <v>705</v>
      </c>
      <c r="Q175" s="2">
        <v>6299</v>
      </c>
      <c r="S175" s="2" t="s">
        <v>791</v>
      </c>
    </row>
    <row r="176" spans="1:19" x14ac:dyDescent="0.3">
      <c r="A176" s="6" t="s">
        <v>572</v>
      </c>
      <c r="B176" s="6" t="s">
        <v>13</v>
      </c>
      <c r="C176" s="48">
        <v>150</v>
      </c>
      <c r="D176" s="6" t="s">
        <v>570</v>
      </c>
      <c r="E176" s="7" t="s">
        <v>54</v>
      </c>
      <c r="F176" s="7" t="s">
        <v>52</v>
      </c>
      <c r="G176" s="12" t="s">
        <v>262</v>
      </c>
      <c r="H176" s="13"/>
      <c r="I176" s="44">
        <v>777.92</v>
      </c>
      <c r="J176" s="12" t="s">
        <v>565</v>
      </c>
      <c r="K176" s="7"/>
      <c r="L176" s="130" t="s">
        <v>168</v>
      </c>
      <c r="M176" s="7" t="s">
        <v>362</v>
      </c>
      <c r="N176" s="50">
        <v>44004</v>
      </c>
      <c r="P176" t="s">
        <v>705</v>
      </c>
      <c r="Q176" s="2">
        <v>6246</v>
      </c>
      <c r="S176" s="2" t="s">
        <v>791</v>
      </c>
    </row>
    <row r="177" spans="1:19" x14ac:dyDescent="0.3">
      <c r="A177" s="6" t="s">
        <v>566</v>
      </c>
      <c r="B177" s="6" t="s">
        <v>13</v>
      </c>
      <c r="C177" s="48">
        <v>100</v>
      </c>
      <c r="D177" s="6" t="s">
        <v>571</v>
      </c>
      <c r="E177" s="7" t="s">
        <v>54</v>
      </c>
      <c r="F177" s="7" t="s">
        <v>52</v>
      </c>
      <c r="G177" s="12" t="s">
        <v>262</v>
      </c>
      <c r="H177" s="13"/>
      <c r="I177" s="44">
        <v>838.09</v>
      </c>
      <c r="J177" s="12" t="s">
        <v>565</v>
      </c>
      <c r="K177" s="7"/>
      <c r="L177" s="130" t="s">
        <v>168</v>
      </c>
      <c r="M177" s="7" t="s">
        <v>362</v>
      </c>
      <c r="N177" s="50">
        <v>44004</v>
      </c>
      <c r="P177" t="s">
        <v>705</v>
      </c>
      <c r="Q177" s="2">
        <v>6246</v>
      </c>
      <c r="S177" s="2" t="s">
        <v>791</v>
      </c>
    </row>
    <row r="178" spans="1:19" x14ac:dyDescent="0.3">
      <c r="A178" s="6" t="s">
        <v>467</v>
      </c>
      <c r="B178" s="6" t="s">
        <v>13</v>
      </c>
      <c r="C178" s="48">
        <v>1</v>
      </c>
      <c r="D178" s="6" t="s">
        <v>573</v>
      </c>
      <c r="E178" s="7" t="s">
        <v>54</v>
      </c>
      <c r="F178" s="7" t="s">
        <v>52</v>
      </c>
      <c r="G178" s="12" t="s">
        <v>214</v>
      </c>
      <c r="H178" s="13"/>
      <c r="I178" s="44">
        <v>199.98</v>
      </c>
      <c r="J178" s="12" t="s">
        <v>565</v>
      </c>
      <c r="K178" s="7"/>
      <c r="L178" s="7" t="s">
        <v>168</v>
      </c>
      <c r="M178" s="7" t="s">
        <v>362</v>
      </c>
      <c r="N178" s="50">
        <v>44004</v>
      </c>
      <c r="P178" t="s">
        <v>705</v>
      </c>
      <c r="Q178" s="2">
        <v>6246</v>
      </c>
      <c r="S178" s="2" t="s">
        <v>791</v>
      </c>
    </row>
    <row r="179" spans="1:19" x14ac:dyDescent="0.3">
      <c r="A179" s="6" t="s">
        <v>566</v>
      </c>
      <c r="B179" s="6" t="s">
        <v>13</v>
      </c>
      <c r="C179" s="48" t="s">
        <v>567</v>
      </c>
      <c r="D179" s="6" t="s">
        <v>568</v>
      </c>
      <c r="E179" s="7" t="s">
        <v>54</v>
      </c>
      <c r="F179" s="7" t="s">
        <v>52</v>
      </c>
      <c r="G179" s="12" t="s">
        <v>262</v>
      </c>
      <c r="H179" s="13"/>
      <c r="I179" s="44">
        <v>363.35</v>
      </c>
      <c r="J179" s="12" t="s">
        <v>565</v>
      </c>
      <c r="K179" s="7"/>
      <c r="L179" s="7" t="s">
        <v>168</v>
      </c>
      <c r="M179" s="7" t="s">
        <v>362</v>
      </c>
      <c r="N179" s="50">
        <v>44012</v>
      </c>
      <c r="P179" t="s">
        <v>705</v>
      </c>
      <c r="Q179" s="2">
        <v>6246</v>
      </c>
      <c r="S179" s="2" t="s">
        <v>791</v>
      </c>
    </row>
    <row r="180" spans="1:19" x14ac:dyDescent="0.3">
      <c r="A180" s="6" t="s">
        <v>467</v>
      </c>
      <c r="B180" s="6" t="s">
        <v>13</v>
      </c>
      <c r="C180" s="48">
        <v>1</v>
      </c>
      <c r="D180" s="6" t="s">
        <v>569</v>
      </c>
      <c r="E180" s="7" t="s">
        <v>54</v>
      </c>
      <c r="F180" s="7" t="s">
        <v>52</v>
      </c>
      <c r="G180" s="12" t="s">
        <v>214</v>
      </c>
      <c r="H180" s="13"/>
      <c r="I180" s="44">
        <v>179.98</v>
      </c>
      <c r="J180" s="12" t="s">
        <v>565</v>
      </c>
      <c r="K180" s="7"/>
      <c r="L180" s="7" t="s">
        <v>168</v>
      </c>
      <c r="M180" s="7" t="s">
        <v>362</v>
      </c>
      <c r="N180" s="50">
        <v>44011</v>
      </c>
      <c r="P180" t="s">
        <v>705</v>
      </c>
      <c r="Q180" s="2">
        <v>6245</v>
      </c>
      <c r="S180" s="2" t="s">
        <v>791</v>
      </c>
    </row>
    <row r="181" spans="1:19" x14ac:dyDescent="0.3">
      <c r="A181" s="6" t="s">
        <v>563</v>
      </c>
      <c r="B181" s="6" t="s">
        <v>13</v>
      </c>
      <c r="C181" s="48">
        <v>240</v>
      </c>
      <c r="D181" s="6" t="s">
        <v>564</v>
      </c>
      <c r="E181" s="7" t="s">
        <v>54</v>
      </c>
      <c r="F181" s="7" t="s">
        <v>52</v>
      </c>
      <c r="G181" s="12" t="s">
        <v>262</v>
      </c>
      <c r="H181" s="13"/>
      <c r="I181" s="44">
        <v>1440</v>
      </c>
      <c r="J181" s="12" t="s">
        <v>565</v>
      </c>
      <c r="K181" s="7"/>
      <c r="L181" s="7" t="s">
        <v>168</v>
      </c>
      <c r="M181" s="7" t="s">
        <v>362</v>
      </c>
      <c r="N181" s="50">
        <v>44013</v>
      </c>
      <c r="P181" t="s">
        <v>704</v>
      </c>
      <c r="Q181" s="2">
        <v>6246</v>
      </c>
      <c r="S181" s="2" t="s">
        <v>802</v>
      </c>
    </row>
    <row r="182" spans="1:19" x14ac:dyDescent="0.3">
      <c r="A182" s="6" t="s">
        <v>517</v>
      </c>
      <c r="B182" s="6" t="s">
        <v>13</v>
      </c>
      <c r="C182" s="43">
        <v>3</v>
      </c>
      <c r="D182" s="6" t="s">
        <v>518</v>
      </c>
      <c r="E182" s="7" t="s">
        <v>54</v>
      </c>
      <c r="F182" s="7" t="s">
        <v>52</v>
      </c>
      <c r="G182" s="12" t="s">
        <v>169</v>
      </c>
      <c r="H182" s="13"/>
      <c r="I182" s="44">
        <v>44.91</v>
      </c>
      <c r="J182" s="12" t="s">
        <v>245</v>
      </c>
      <c r="K182" s="7"/>
      <c r="L182" s="7" t="s">
        <v>168</v>
      </c>
      <c r="M182" s="7" t="s">
        <v>362</v>
      </c>
      <c r="N182" s="50">
        <v>43990</v>
      </c>
      <c r="P182" t="s">
        <v>705</v>
      </c>
      <c r="Q182" s="2">
        <v>6245</v>
      </c>
      <c r="S182" s="2" t="s">
        <v>791</v>
      </c>
    </row>
    <row r="183" spans="1:19" x14ac:dyDescent="0.3">
      <c r="A183" s="6" t="s">
        <v>191</v>
      </c>
      <c r="B183" s="6" t="s">
        <v>574</v>
      </c>
      <c r="C183" s="43">
        <f>4+24+96</f>
        <v>124</v>
      </c>
      <c r="D183" s="6" t="s">
        <v>576</v>
      </c>
      <c r="E183" s="7" t="s">
        <v>54</v>
      </c>
      <c r="F183" s="7" t="s">
        <v>52</v>
      </c>
      <c r="G183" s="12" t="s">
        <v>575</v>
      </c>
      <c r="H183" s="13"/>
      <c r="I183" s="44">
        <v>370.2</v>
      </c>
      <c r="J183" s="12" t="s">
        <v>55</v>
      </c>
      <c r="K183" s="7"/>
      <c r="L183" s="7" t="s">
        <v>168</v>
      </c>
      <c r="M183" s="7" t="s">
        <v>362</v>
      </c>
      <c r="N183" s="50">
        <v>44021</v>
      </c>
      <c r="P183" t="s">
        <v>705</v>
      </c>
      <c r="Q183" s="2">
        <v>6246</v>
      </c>
      <c r="S183" s="2" t="s">
        <v>791</v>
      </c>
    </row>
    <row r="184" spans="1:19" x14ac:dyDescent="0.3">
      <c r="A184" s="6" t="s">
        <v>467</v>
      </c>
      <c r="B184" s="6" t="s">
        <v>13</v>
      </c>
      <c r="C184" s="43">
        <v>12</v>
      </c>
      <c r="D184" s="6" t="s">
        <v>592</v>
      </c>
      <c r="E184" s="7" t="s">
        <v>54</v>
      </c>
      <c r="F184" s="7" t="s">
        <v>52</v>
      </c>
      <c r="G184" s="12" t="s">
        <v>262</v>
      </c>
      <c r="H184" s="13"/>
      <c r="I184" s="153">
        <v>1396.2</v>
      </c>
      <c r="J184" s="12" t="s">
        <v>565</v>
      </c>
      <c r="K184" s="7"/>
      <c r="L184" s="7" t="s">
        <v>168</v>
      </c>
      <c r="M184" s="7" t="s">
        <v>362</v>
      </c>
      <c r="N184" s="50">
        <v>44018</v>
      </c>
      <c r="P184" t="s">
        <v>705</v>
      </c>
      <c r="Q184" s="2">
        <v>6245</v>
      </c>
      <c r="S184" s="2" t="s">
        <v>791</v>
      </c>
    </row>
    <row r="185" spans="1:19" x14ac:dyDescent="0.3">
      <c r="A185" s="6" t="s">
        <v>762</v>
      </c>
      <c r="B185" s="6" t="s">
        <v>13</v>
      </c>
      <c r="C185" s="43">
        <v>-12</v>
      </c>
      <c r="D185" s="6" t="s">
        <v>592</v>
      </c>
      <c r="E185" s="7" t="s">
        <v>54</v>
      </c>
      <c r="F185" s="7" t="s">
        <v>52</v>
      </c>
      <c r="G185" s="12" t="s">
        <v>262</v>
      </c>
      <c r="H185" s="13"/>
      <c r="I185" s="153">
        <v>-1396.2</v>
      </c>
      <c r="J185" s="12" t="s">
        <v>565</v>
      </c>
      <c r="K185" s="7"/>
      <c r="L185" s="7" t="s">
        <v>168</v>
      </c>
      <c r="M185" s="7" t="s">
        <v>362</v>
      </c>
      <c r="N185" s="45">
        <v>44057</v>
      </c>
      <c r="Q185"/>
    </row>
    <row r="186" spans="1:19" x14ac:dyDescent="0.3">
      <c r="A186" s="6" t="s">
        <v>632</v>
      </c>
      <c r="B186" s="6" t="s">
        <v>574</v>
      </c>
      <c r="C186" s="43" t="s">
        <v>633</v>
      </c>
      <c r="D186" s="6"/>
      <c r="E186" s="7" t="s">
        <v>54</v>
      </c>
      <c r="F186" s="7" t="s">
        <v>52</v>
      </c>
      <c r="G186" s="12" t="s">
        <v>575</v>
      </c>
      <c r="H186" s="13"/>
      <c r="I186" s="44">
        <v>34.51</v>
      </c>
      <c r="J186" s="12" t="s">
        <v>55</v>
      </c>
      <c r="K186" s="7"/>
      <c r="L186" s="7" t="s">
        <v>168</v>
      </c>
      <c r="M186" s="7" t="s">
        <v>362</v>
      </c>
      <c r="N186" s="45">
        <v>44043</v>
      </c>
      <c r="P186" t="s">
        <v>705</v>
      </c>
      <c r="Q186" s="2">
        <v>6246</v>
      </c>
      <c r="S186" s="2" t="s">
        <v>791</v>
      </c>
    </row>
    <row r="187" spans="1:19" x14ac:dyDescent="0.3">
      <c r="A187" s="6" t="s">
        <v>191</v>
      </c>
      <c r="B187" s="6" t="s">
        <v>370</v>
      </c>
      <c r="C187" s="43">
        <v>30</v>
      </c>
      <c r="D187" s="6" t="s">
        <v>634</v>
      </c>
      <c r="E187" s="7" t="s">
        <v>54</v>
      </c>
      <c r="F187" s="7" t="s">
        <v>52</v>
      </c>
      <c r="G187" s="12" t="s">
        <v>262</v>
      </c>
      <c r="H187" s="13"/>
      <c r="I187" s="44">
        <v>318.3</v>
      </c>
      <c r="J187" s="12" t="s">
        <v>322</v>
      </c>
      <c r="K187" s="7"/>
      <c r="L187" s="7" t="s">
        <v>168</v>
      </c>
      <c r="M187" s="7" t="s">
        <v>362</v>
      </c>
      <c r="N187" s="45">
        <v>44036</v>
      </c>
      <c r="P187" t="s">
        <v>705</v>
      </c>
      <c r="Q187" s="2">
        <v>6246</v>
      </c>
      <c r="S187" s="2" t="s">
        <v>791</v>
      </c>
    </row>
    <row r="188" spans="1:19" x14ac:dyDescent="0.3">
      <c r="A188" s="6" t="s">
        <v>639</v>
      </c>
      <c r="B188" s="6" t="s">
        <v>370</v>
      </c>
      <c r="C188" s="43">
        <v>200</v>
      </c>
      <c r="D188" s="6" t="s">
        <v>641</v>
      </c>
      <c r="E188" s="7" t="s">
        <v>54</v>
      </c>
      <c r="F188" s="7" t="s">
        <v>52</v>
      </c>
      <c r="G188" s="12" t="s">
        <v>262</v>
      </c>
      <c r="H188" s="13"/>
      <c r="I188" s="44">
        <v>1235.52</v>
      </c>
      <c r="J188" s="12" t="s">
        <v>322</v>
      </c>
      <c r="K188" s="7"/>
      <c r="L188" s="7" t="s">
        <v>168</v>
      </c>
      <c r="M188" s="7" t="s">
        <v>362</v>
      </c>
      <c r="N188" s="45">
        <v>44034</v>
      </c>
      <c r="P188" t="s">
        <v>705</v>
      </c>
      <c r="Q188" s="2">
        <v>6246</v>
      </c>
      <c r="S188" s="2" t="s">
        <v>791</v>
      </c>
    </row>
    <row r="189" spans="1:19" x14ac:dyDescent="0.3">
      <c r="A189" s="6" t="s">
        <v>639</v>
      </c>
      <c r="B189" s="6" t="s">
        <v>370</v>
      </c>
      <c r="C189" s="43">
        <v>50</v>
      </c>
      <c r="D189" s="6" t="s">
        <v>640</v>
      </c>
      <c r="E189" s="7" t="s">
        <v>54</v>
      </c>
      <c r="F189" s="7" t="s">
        <v>52</v>
      </c>
      <c r="G189" s="12" t="s">
        <v>262</v>
      </c>
      <c r="H189" s="13"/>
      <c r="I189" s="44">
        <v>397.9</v>
      </c>
      <c r="J189" s="12" t="s">
        <v>322</v>
      </c>
      <c r="K189" s="7"/>
      <c r="L189" s="7" t="s">
        <v>168</v>
      </c>
      <c r="M189" s="7" t="s">
        <v>362</v>
      </c>
      <c r="N189" s="45">
        <v>44032</v>
      </c>
      <c r="P189" t="s">
        <v>705</v>
      </c>
      <c r="Q189" s="2">
        <v>6246</v>
      </c>
      <c r="S189" s="2" t="s">
        <v>791</v>
      </c>
    </row>
    <row r="190" spans="1:19" x14ac:dyDescent="0.3">
      <c r="A190" s="6" t="s">
        <v>639</v>
      </c>
      <c r="B190" s="6" t="s">
        <v>370</v>
      </c>
      <c r="C190" s="43">
        <v>50</v>
      </c>
      <c r="D190" s="6" t="s">
        <v>642</v>
      </c>
      <c r="E190" s="7" t="s">
        <v>54</v>
      </c>
      <c r="F190" s="7" t="s">
        <v>52</v>
      </c>
      <c r="G190" s="12" t="s">
        <v>262</v>
      </c>
      <c r="H190" s="13"/>
      <c r="I190" s="44">
        <v>388.96</v>
      </c>
      <c r="J190" s="12" t="s">
        <v>322</v>
      </c>
      <c r="K190" s="7"/>
      <c r="L190" s="7" t="s">
        <v>168</v>
      </c>
      <c r="M190" s="7" t="s">
        <v>362</v>
      </c>
      <c r="N190" s="45">
        <v>44032</v>
      </c>
      <c r="P190" t="s">
        <v>705</v>
      </c>
      <c r="Q190" s="2">
        <v>6246</v>
      </c>
      <c r="S190" s="2" t="s">
        <v>791</v>
      </c>
    </row>
    <row r="191" spans="1:19" x14ac:dyDescent="0.3">
      <c r="A191" s="6" t="s">
        <v>638</v>
      </c>
      <c r="B191" s="6" t="s">
        <v>370</v>
      </c>
      <c r="C191" s="43">
        <v>150</v>
      </c>
      <c r="D191" s="6" t="s">
        <v>635</v>
      </c>
      <c r="E191" s="7" t="s">
        <v>54</v>
      </c>
      <c r="F191" s="7" t="s">
        <v>52</v>
      </c>
      <c r="G191" s="12" t="s">
        <v>262</v>
      </c>
      <c r="H191" s="13"/>
      <c r="I191" s="44">
        <v>497</v>
      </c>
      <c r="J191" s="12" t="s">
        <v>322</v>
      </c>
      <c r="K191" s="7"/>
      <c r="L191" s="7" t="s">
        <v>168</v>
      </c>
      <c r="M191" s="7" t="s">
        <v>362</v>
      </c>
      <c r="N191" s="45">
        <v>44026</v>
      </c>
      <c r="P191" t="s">
        <v>705</v>
      </c>
      <c r="Q191" s="2">
        <v>6246</v>
      </c>
      <c r="S191" s="2" t="s">
        <v>791</v>
      </c>
    </row>
    <row r="192" spans="1:19" x14ac:dyDescent="0.3">
      <c r="A192" s="6" t="s">
        <v>577</v>
      </c>
      <c r="B192" s="6" t="s">
        <v>370</v>
      </c>
      <c r="C192" s="43">
        <v>3000</v>
      </c>
      <c r="D192" s="6" t="s">
        <v>578</v>
      </c>
      <c r="E192" s="7" t="s">
        <v>54</v>
      </c>
      <c r="F192" s="7" t="s">
        <v>52</v>
      </c>
      <c r="G192" s="12" t="s">
        <v>262</v>
      </c>
      <c r="H192" s="13"/>
      <c r="I192" s="44">
        <v>187</v>
      </c>
      <c r="J192" s="12" t="s">
        <v>322</v>
      </c>
      <c r="K192" s="7"/>
      <c r="L192" s="7" t="s">
        <v>168</v>
      </c>
      <c r="M192" s="7" t="s">
        <v>362</v>
      </c>
      <c r="N192" s="50">
        <v>44023</v>
      </c>
      <c r="P192" t="s">
        <v>705</v>
      </c>
      <c r="Q192" s="2">
        <v>6246</v>
      </c>
      <c r="S192" s="2" t="s">
        <v>791</v>
      </c>
    </row>
    <row r="193" spans="1:19" x14ac:dyDescent="0.3">
      <c r="A193" s="6" t="s">
        <v>191</v>
      </c>
      <c r="B193" s="6" t="s">
        <v>370</v>
      </c>
      <c r="C193" s="43">
        <v>360</v>
      </c>
      <c r="D193" s="6" t="s">
        <v>585</v>
      </c>
      <c r="E193" s="7" t="s">
        <v>54</v>
      </c>
      <c r="F193" s="7" t="s">
        <v>52</v>
      </c>
      <c r="G193" s="12" t="s">
        <v>262</v>
      </c>
      <c r="H193" s="13"/>
      <c r="I193" s="44">
        <v>253</v>
      </c>
      <c r="J193" s="12" t="s">
        <v>322</v>
      </c>
      <c r="K193" s="7"/>
      <c r="L193" s="7" t="s">
        <v>168</v>
      </c>
      <c r="M193" s="7" t="s">
        <v>362</v>
      </c>
      <c r="N193" s="50">
        <v>44016</v>
      </c>
      <c r="P193" t="s">
        <v>705</v>
      </c>
      <c r="Q193" s="2">
        <v>6246</v>
      </c>
      <c r="S193" s="2" t="s">
        <v>791</v>
      </c>
    </row>
    <row r="194" spans="1:19" x14ac:dyDescent="0.3">
      <c r="A194" s="6" t="s">
        <v>673</v>
      </c>
      <c r="B194" s="6" t="s">
        <v>13</v>
      </c>
      <c r="C194" s="43">
        <v>8</v>
      </c>
      <c r="D194" s="6" t="s">
        <v>674</v>
      </c>
      <c r="E194" s="7" t="s">
        <v>54</v>
      </c>
      <c r="F194" s="7" t="s">
        <v>52</v>
      </c>
      <c r="G194" s="12" t="s">
        <v>262</v>
      </c>
      <c r="H194" s="13"/>
      <c r="I194" s="13">
        <v>286.70999999999998</v>
      </c>
      <c r="J194" s="12" t="s">
        <v>565</v>
      </c>
      <c r="K194" s="7"/>
      <c r="L194" s="7" t="s">
        <v>168</v>
      </c>
      <c r="M194" s="7" t="s">
        <v>362</v>
      </c>
      <c r="N194" s="50">
        <v>44032</v>
      </c>
      <c r="P194" t="s">
        <v>705</v>
      </c>
      <c r="Q194" s="2">
        <v>6280</v>
      </c>
      <c r="S194" s="2" t="s">
        <v>791</v>
      </c>
    </row>
    <row r="195" spans="1:19" x14ac:dyDescent="0.3">
      <c r="A195" s="6" t="s">
        <v>587</v>
      </c>
      <c r="B195" s="6" t="s">
        <v>13</v>
      </c>
      <c r="C195" s="43" t="s">
        <v>197</v>
      </c>
      <c r="D195" s="6" t="s">
        <v>588</v>
      </c>
      <c r="E195" s="7" t="s">
        <v>586</v>
      </c>
      <c r="F195" s="7" t="s">
        <v>52</v>
      </c>
      <c r="G195" s="12" t="s">
        <v>262</v>
      </c>
      <c r="H195" s="13"/>
      <c r="I195" s="13">
        <v>824.4</v>
      </c>
      <c r="J195" s="12" t="s">
        <v>565</v>
      </c>
      <c r="K195" s="7"/>
      <c r="L195" s="7" t="s">
        <v>168</v>
      </c>
      <c r="M195" s="7"/>
      <c r="N195" s="50">
        <v>44021</v>
      </c>
      <c r="P195" t="s">
        <v>705</v>
      </c>
      <c r="Q195" s="2">
        <v>6246</v>
      </c>
      <c r="S195" s="2" t="s">
        <v>791</v>
      </c>
    </row>
    <row r="196" spans="1:19" x14ac:dyDescent="0.3">
      <c r="A196" s="6" t="s">
        <v>579</v>
      </c>
      <c r="B196" s="6" t="s">
        <v>370</v>
      </c>
      <c r="C196" s="43">
        <v>1</v>
      </c>
      <c r="D196" s="6" t="s">
        <v>719</v>
      </c>
      <c r="E196" s="7" t="s">
        <v>586</v>
      </c>
      <c r="F196" s="7" t="s">
        <v>52</v>
      </c>
      <c r="G196" s="12" t="s">
        <v>262</v>
      </c>
      <c r="H196" s="13"/>
      <c r="I196" s="13">
        <v>6.17</v>
      </c>
      <c r="J196" s="12" t="s">
        <v>322</v>
      </c>
      <c r="K196" s="7"/>
      <c r="L196" s="130" t="s">
        <v>168</v>
      </c>
      <c r="M196" s="7" t="s">
        <v>362</v>
      </c>
      <c r="N196" s="50">
        <v>44003</v>
      </c>
      <c r="P196" t="s">
        <v>705</v>
      </c>
      <c r="Q196" s="2">
        <v>6246</v>
      </c>
      <c r="S196" s="2" t="s">
        <v>791</v>
      </c>
    </row>
    <row r="197" spans="1:19" x14ac:dyDescent="0.3">
      <c r="A197" s="6" t="s">
        <v>579</v>
      </c>
      <c r="B197" s="6" t="s">
        <v>370</v>
      </c>
      <c r="C197" s="43">
        <v>3</v>
      </c>
      <c r="D197" s="6" t="s">
        <v>720</v>
      </c>
      <c r="E197" s="7" t="s">
        <v>54</v>
      </c>
      <c r="F197" s="7" t="s">
        <v>52</v>
      </c>
      <c r="G197" s="12" t="s">
        <v>262</v>
      </c>
      <c r="H197" s="13"/>
      <c r="I197" s="44">
        <v>24.68</v>
      </c>
      <c r="J197" s="12" t="s">
        <v>322</v>
      </c>
      <c r="K197" s="7"/>
      <c r="L197" s="130" t="s">
        <v>168</v>
      </c>
      <c r="M197" s="7" t="s">
        <v>362</v>
      </c>
      <c r="N197" s="50">
        <v>44003</v>
      </c>
      <c r="P197" t="s">
        <v>705</v>
      </c>
      <c r="Q197" s="2">
        <v>6246</v>
      </c>
      <c r="S197" s="2" t="s">
        <v>791</v>
      </c>
    </row>
    <row r="198" spans="1:19" x14ac:dyDescent="0.3">
      <c r="A198" s="6" t="s">
        <v>639</v>
      </c>
      <c r="B198" s="6" t="s">
        <v>574</v>
      </c>
      <c r="C198" s="43">
        <v>75</v>
      </c>
      <c r="D198" s="6" t="s">
        <v>664</v>
      </c>
      <c r="E198" s="7" t="s">
        <v>54</v>
      </c>
      <c r="F198" s="7" t="s">
        <v>52</v>
      </c>
      <c r="G198" s="12" t="s">
        <v>262</v>
      </c>
      <c r="H198" s="13"/>
      <c r="I198" s="44">
        <v>657</v>
      </c>
      <c r="J198" s="12" t="s">
        <v>565</v>
      </c>
      <c r="K198" s="7"/>
      <c r="L198" s="7" t="s">
        <v>168</v>
      </c>
      <c r="M198" s="7" t="s">
        <v>362</v>
      </c>
      <c r="N198" s="45">
        <v>44055</v>
      </c>
      <c r="Q198"/>
    </row>
    <row r="199" spans="1:19" x14ac:dyDescent="0.3">
      <c r="A199" s="6" t="s">
        <v>639</v>
      </c>
      <c r="B199" s="6" t="s">
        <v>574</v>
      </c>
      <c r="C199" s="43">
        <v>250</v>
      </c>
      <c r="D199" s="6" t="s">
        <v>663</v>
      </c>
      <c r="E199" s="7" t="s">
        <v>54</v>
      </c>
      <c r="F199" s="7" t="s">
        <v>52</v>
      </c>
      <c r="G199" s="12" t="s">
        <v>262</v>
      </c>
      <c r="H199" s="13"/>
      <c r="I199" s="44">
        <v>1500</v>
      </c>
      <c r="J199" s="12" t="s">
        <v>565</v>
      </c>
      <c r="K199" s="7"/>
      <c r="L199" s="7" t="s">
        <v>168</v>
      </c>
      <c r="M199" s="7" t="s">
        <v>362</v>
      </c>
      <c r="N199" s="45">
        <v>44054</v>
      </c>
      <c r="Q199"/>
    </row>
    <row r="200" spans="1:19" x14ac:dyDescent="0.3">
      <c r="A200" s="6" t="s">
        <v>637</v>
      </c>
      <c r="B200" s="6" t="s">
        <v>370</v>
      </c>
      <c r="C200" s="43">
        <v>200</v>
      </c>
      <c r="D200" s="6" t="s">
        <v>636</v>
      </c>
      <c r="E200" s="7" t="s">
        <v>54</v>
      </c>
      <c r="F200" s="7" t="s">
        <v>52</v>
      </c>
      <c r="G200" s="12" t="s">
        <v>262</v>
      </c>
      <c r="H200" s="13"/>
      <c r="I200" s="44">
        <v>832</v>
      </c>
      <c r="J200" s="12" t="s">
        <v>322</v>
      </c>
      <c r="K200" s="7"/>
      <c r="L200" s="7" t="s">
        <v>168</v>
      </c>
      <c r="M200" s="7" t="s">
        <v>362</v>
      </c>
      <c r="N200" s="45">
        <v>44045</v>
      </c>
      <c r="Q200"/>
    </row>
    <row r="201" spans="1:19" x14ac:dyDescent="0.3">
      <c r="A201" s="6" t="s">
        <v>467</v>
      </c>
      <c r="B201" s="6" t="s">
        <v>13</v>
      </c>
      <c r="C201" s="43">
        <v>12</v>
      </c>
      <c r="D201" s="6" t="s">
        <v>672</v>
      </c>
      <c r="E201" s="7" t="s">
        <v>54</v>
      </c>
      <c r="F201" s="7" t="s">
        <v>52</v>
      </c>
      <c r="G201" s="12" t="s">
        <v>214</v>
      </c>
      <c r="H201" s="13"/>
      <c r="I201" s="44">
        <v>1535.88</v>
      </c>
      <c r="J201" s="12" t="s">
        <v>565</v>
      </c>
      <c r="K201" s="7"/>
      <c r="L201" s="7" t="s">
        <v>168</v>
      </c>
      <c r="M201" s="7" t="s">
        <v>362</v>
      </c>
      <c r="N201" s="45">
        <v>44059</v>
      </c>
      <c r="Q201"/>
    </row>
    <row r="202" spans="1:19" x14ac:dyDescent="0.3">
      <c r="A202" s="6" t="s">
        <v>758</v>
      </c>
      <c r="B202" s="6" t="s">
        <v>13</v>
      </c>
      <c r="C202" s="43"/>
      <c r="D202" s="6" t="s">
        <v>757</v>
      </c>
      <c r="E202" s="7" t="s">
        <v>54</v>
      </c>
      <c r="F202" s="7" t="s">
        <v>52</v>
      </c>
      <c r="G202" s="12" t="s">
        <v>262</v>
      </c>
      <c r="H202" s="13"/>
      <c r="I202" s="44">
        <v>39.99</v>
      </c>
      <c r="J202" s="12" t="s">
        <v>565</v>
      </c>
      <c r="K202" s="7"/>
      <c r="L202" s="7" t="s">
        <v>168</v>
      </c>
      <c r="M202" s="7" t="s">
        <v>362</v>
      </c>
      <c r="N202" s="45">
        <v>44064</v>
      </c>
      <c r="Q202"/>
    </row>
    <row r="203" spans="1:19" x14ac:dyDescent="0.3">
      <c r="A203" s="6" t="s">
        <v>639</v>
      </c>
      <c r="B203" s="6" t="s">
        <v>574</v>
      </c>
      <c r="C203" s="43">
        <v>100</v>
      </c>
      <c r="D203" s="6" t="s">
        <v>759</v>
      </c>
      <c r="E203" s="7" t="s">
        <v>54</v>
      </c>
      <c r="F203" s="7" t="s">
        <v>52</v>
      </c>
      <c r="G203" s="12" t="s">
        <v>262</v>
      </c>
      <c r="H203" s="13"/>
      <c r="I203" s="44">
        <v>688</v>
      </c>
      <c r="J203" s="12" t="s">
        <v>565</v>
      </c>
      <c r="K203" s="7"/>
      <c r="L203" s="7" t="s">
        <v>168</v>
      </c>
      <c r="M203" s="7" t="s">
        <v>362</v>
      </c>
      <c r="N203" s="45">
        <v>44053</v>
      </c>
      <c r="Q203"/>
    </row>
    <row r="204" spans="1:19" x14ac:dyDescent="0.3">
      <c r="A204" s="6" t="s">
        <v>758</v>
      </c>
      <c r="B204" s="6" t="s">
        <v>574</v>
      </c>
      <c r="C204" s="43">
        <v>1</v>
      </c>
      <c r="D204" s="6" t="s">
        <v>757</v>
      </c>
      <c r="E204" s="7" t="s">
        <v>54</v>
      </c>
      <c r="F204" s="7" t="s">
        <v>52</v>
      </c>
      <c r="G204" s="12" t="s">
        <v>262</v>
      </c>
      <c r="H204" s="13"/>
      <c r="I204" s="44">
        <v>39.68</v>
      </c>
      <c r="J204" s="12" t="s">
        <v>565</v>
      </c>
      <c r="K204" s="7"/>
      <c r="L204" s="7" t="s">
        <v>168</v>
      </c>
      <c r="M204" s="7" t="s">
        <v>362</v>
      </c>
      <c r="N204" s="45">
        <v>44053</v>
      </c>
      <c r="Q204"/>
    </row>
    <row r="205" spans="1:19" x14ac:dyDescent="0.3">
      <c r="A205" s="6" t="s">
        <v>639</v>
      </c>
      <c r="B205" s="6" t="s">
        <v>13</v>
      </c>
      <c r="C205" s="43">
        <v>100</v>
      </c>
      <c r="D205" s="6" t="s">
        <v>761</v>
      </c>
      <c r="E205" s="7" t="s">
        <v>54</v>
      </c>
      <c r="F205" s="7" t="s">
        <v>52</v>
      </c>
      <c r="G205" s="12" t="s">
        <v>262</v>
      </c>
      <c r="H205" s="13"/>
      <c r="I205" s="44">
        <v>600</v>
      </c>
      <c r="J205" s="12" t="s">
        <v>565</v>
      </c>
      <c r="K205" s="7"/>
      <c r="L205" s="7" t="s">
        <v>168</v>
      </c>
      <c r="M205" s="7" t="s">
        <v>362</v>
      </c>
      <c r="N205" s="45"/>
      <c r="Q205"/>
    </row>
    <row r="206" spans="1:19" x14ac:dyDescent="0.3">
      <c r="A206" s="6" t="s">
        <v>639</v>
      </c>
      <c r="B206" s="6" t="s">
        <v>574</v>
      </c>
      <c r="C206" s="43">
        <v>125</v>
      </c>
      <c r="D206" s="6" t="s">
        <v>760</v>
      </c>
      <c r="E206" s="7" t="s">
        <v>54</v>
      </c>
      <c r="F206" s="7" t="s">
        <v>52</v>
      </c>
      <c r="G206" s="12" t="s">
        <v>262</v>
      </c>
      <c r="H206" s="13"/>
      <c r="I206" s="44">
        <v>1095</v>
      </c>
      <c r="J206" s="12" t="s">
        <v>565</v>
      </c>
      <c r="K206" s="7"/>
      <c r="L206" s="7" t="s">
        <v>168</v>
      </c>
      <c r="M206" s="7" t="s">
        <v>362</v>
      </c>
      <c r="N206" s="45">
        <v>44053</v>
      </c>
      <c r="Q206"/>
    </row>
    <row r="207" spans="1:19" x14ac:dyDescent="0.3">
      <c r="A207" s="6" t="s">
        <v>579</v>
      </c>
      <c r="B207" s="6" t="s">
        <v>370</v>
      </c>
      <c r="C207" s="43">
        <v>3</v>
      </c>
      <c r="D207" s="6" t="s">
        <v>720</v>
      </c>
      <c r="E207" s="7" t="s">
        <v>586</v>
      </c>
      <c r="F207" s="7" t="s">
        <v>52</v>
      </c>
      <c r="G207" s="12" t="s">
        <v>262</v>
      </c>
      <c r="H207" s="13"/>
      <c r="I207" s="13">
        <f>6.17*3</f>
        <v>18.509999999999998</v>
      </c>
      <c r="J207" s="12" t="s">
        <v>322</v>
      </c>
      <c r="K207" s="7"/>
      <c r="L207" s="7" t="s">
        <v>168</v>
      </c>
      <c r="M207" s="7" t="s">
        <v>362</v>
      </c>
      <c r="N207" s="50">
        <v>44003</v>
      </c>
      <c r="P207" t="s">
        <v>705</v>
      </c>
      <c r="Q207" s="155"/>
    </row>
    <row r="208" spans="1:19" x14ac:dyDescent="0.3">
      <c r="A208" s="6" t="s">
        <v>764</v>
      </c>
      <c r="B208" s="6" t="s">
        <v>370</v>
      </c>
      <c r="C208" s="43">
        <v>-15</v>
      </c>
      <c r="D208" s="6" t="s">
        <v>765</v>
      </c>
      <c r="E208" s="7" t="s">
        <v>54</v>
      </c>
      <c r="F208" s="7" t="s">
        <v>52</v>
      </c>
      <c r="G208" s="12" t="s">
        <v>262</v>
      </c>
      <c r="H208" s="13"/>
      <c r="I208" s="44">
        <v>-49.7</v>
      </c>
      <c r="J208" s="12" t="s">
        <v>322</v>
      </c>
      <c r="K208" s="7"/>
      <c r="L208" s="7" t="s">
        <v>168</v>
      </c>
      <c r="M208" s="7" t="s">
        <v>362</v>
      </c>
      <c r="N208" s="45"/>
      <c r="Q208"/>
    </row>
    <row r="209" spans="1:19" x14ac:dyDescent="0.3">
      <c r="A209" s="148" t="s">
        <v>748</v>
      </c>
      <c r="B209" s="148" t="s">
        <v>753</v>
      </c>
      <c r="C209" s="149"/>
      <c r="D209" s="148"/>
      <c r="E209" s="150" t="s">
        <v>54</v>
      </c>
      <c r="F209" s="150"/>
      <c r="G209" s="151"/>
      <c r="H209" s="152"/>
      <c r="I209" s="152">
        <v>-286.70999999999998</v>
      </c>
      <c r="J209" s="151" t="s">
        <v>749</v>
      </c>
      <c r="K209" s="150"/>
      <c r="L209" s="150" t="s">
        <v>750</v>
      </c>
      <c r="M209" s="150"/>
      <c r="N209" s="157"/>
      <c r="O209" s="158"/>
      <c r="P209" s="158"/>
      <c r="Q209" s="158"/>
      <c r="R209" s="158"/>
      <c r="S209" s="159" t="s">
        <v>798</v>
      </c>
    </row>
    <row r="210" spans="1:19" x14ac:dyDescent="0.3">
      <c r="A210" s="148" t="s">
        <v>751</v>
      </c>
      <c r="B210" s="148" t="s">
        <v>753</v>
      </c>
      <c r="C210" s="149"/>
      <c r="D210" s="148"/>
      <c r="E210" s="150" t="s">
        <v>54</v>
      </c>
      <c r="F210" s="150"/>
      <c r="G210" s="151"/>
      <c r="H210" s="152"/>
      <c r="I210" s="152">
        <v>-1981.71</v>
      </c>
      <c r="J210" s="151" t="s">
        <v>749</v>
      </c>
      <c r="K210" s="150"/>
      <c r="L210" s="150" t="s">
        <v>750</v>
      </c>
      <c r="M210" s="150"/>
      <c r="N210" s="157"/>
      <c r="O210" s="158"/>
      <c r="P210" s="158"/>
      <c r="Q210" s="158"/>
      <c r="R210" s="158"/>
      <c r="S210" s="159" t="s">
        <v>798</v>
      </c>
    </row>
    <row r="211" spans="1:19" x14ac:dyDescent="0.3">
      <c r="A211" s="148" t="s">
        <v>752</v>
      </c>
      <c r="B211" s="148" t="s">
        <v>753</v>
      </c>
      <c r="C211" s="149"/>
      <c r="D211" s="148"/>
      <c r="E211" s="150" t="s">
        <v>54</v>
      </c>
      <c r="F211" s="150"/>
      <c r="G211" s="151"/>
      <c r="H211" s="152"/>
      <c r="I211" s="152">
        <v>52833.52</v>
      </c>
      <c r="J211" s="151" t="s">
        <v>749</v>
      </c>
      <c r="K211" s="150"/>
      <c r="L211" s="150" t="s">
        <v>750</v>
      </c>
      <c r="M211" s="150"/>
      <c r="N211" s="157"/>
      <c r="O211" s="158"/>
      <c r="P211" s="158"/>
      <c r="Q211" s="158"/>
      <c r="R211" s="158"/>
      <c r="S211" s="159" t="s">
        <v>798</v>
      </c>
    </row>
    <row r="212" spans="1:19" x14ac:dyDescent="0.3">
      <c r="A212" s="148" t="s">
        <v>752</v>
      </c>
      <c r="B212" s="148" t="s">
        <v>753</v>
      </c>
      <c r="C212" s="149"/>
      <c r="D212" s="148"/>
      <c r="E212" s="150" t="s">
        <v>54</v>
      </c>
      <c r="F212" s="150"/>
      <c r="G212" s="151"/>
      <c r="H212" s="152"/>
      <c r="I212" s="152">
        <v>-44790.2</v>
      </c>
      <c r="J212" s="151" t="s">
        <v>749</v>
      </c>
      <c r="K212" s="150"/>
      <c r="L212" s="150" t="s">
        <v>750</v>
      </c>
      <c r="M212" s="150"/>
      <c r="N212" s="157"/>
      <c r="O212" s="158"/>
      <c r="P212" s="158"/>
      <c r="Q212" s="158"/>
      <c r="R212" s="158"/>
      <c r="S212" s="159" t="s">
        <v>798</v>
      </c>
    </row>
    <row r="213" spans="1:19" x14ac:dyDescent="0.3">
      <c r="A213" s="148" t="s">
        <v>754</v>
      </c>
      <c r="B213" s="148" t="s">
        <v>753</v>
      </c>
      <c r="C213" s="149"/>
      <c r="D213" s="148"/>
      <c r="E213" s="150" t="s">
        <v>54</v>
      </c>
      <c r="F213" s="150"/>
      <c r="G213" s="151"/>
      <c r="H213" s="152"/>
      <c r="I213" s="152">
        <v>169.9</v>
      </c>
      <c r="J213" s="151" t="s">
        <v>749</v>
      </c>
      <c r="K213" s="150"/>
      <c r="L213" s="150" t="s">
        <v>755</v>
      </c>
      <c r="M213" s="150"/>
      <c r="N213" s="157"/>
      <c r="O213" s="158"/>
      <c r="P213" s="158"/>
      <c r="Q213" s="158"/>
      <c r="R213" s="158"/>
      <c r="S213" s="159" t="s">
        <v>798</v>
      </c>
    </row>
    <row r="214" spans="1:19" x14ac:dyDescent="0.3">
      <c r="A214" s="148" t="s">
        <v>763</v>
      </c>
      <c r="B214" s="148" t="s">
        <v>753</v>
      </c>
      <c r="C214" s="149"/>
      <c r="D214" s="148"/>
      <c r="E214" s="150" t="s">
        <v>54</v>
      </c>
      <c r="F214" s="150"/>
      <c r="G214" s="151"/>
      <c r="H214" s="152"/>
      <c r="I214" s="152">
        <v>1132.1600000000001</v>
      </c>
      <c r="J214" s="151" t="s">
        <v>749</v>
      </c>
      <c r="K214" s="150"/>
      <c r="L214" s="150" t="s">
        <v>755</v>
      </c>
      <c r="M214" s="150"/>
      <c r="N214" s="157"/>
      <c r="O214" s="158"/>
      <c r="P214" s="158"/>
      <c r="Q214" s="158"/>
      <c r="R214" s="158"/>
      <c r="S214" s="159" t="s">
        <v>798</v>
      </c>
    </row>
    <row r="215" spans="1:19" x14ac:dyDescent="0.3">
      <c r="A215" s="6" t="s">
        <v>347</v>
      </c>
      <c r="B215" s="6" t="s">
        <v>370</v>
      </c>
      <c r="C215" s="43">
        <v>360</v>
      </c>
      <c r="D215" s="6" t="s">
        <v>770</v>
      </c>
      <c r="E215" s="7" t="s">
        <v>54</v>
      </c>
      <c r="F215" s="7" t="s">
        <v>52</v>
      </c>
      <c r="G215" s="12" t="s">
        <v>262</v>
      </c>
      <c r="H215" s="13"/>
      <c r="I215" s="44">
        <v>356.4</v>
      </c>
      <c r="J215" s="12" t="s">
        <v>322</v>
      </c>
      <c r="K215" s="7"/>
      <c r="L215" s="127" t="s">
        <v>168</v>
      </c>
      <c r="M215" s="7" t="s">
        <v>362</v>
      </c>
      <c r="N215" s="45">
        <v>44092</v>
      </c>
      <c r="Q215"/>
    </row>
    <row r="216" spans="1:19" x14ac:dyDescent="0.3">
      <c r="A216" s="6" t="s">
        <v>347</v>
      </c>
      <c r="B216" s="6" t="s">
        <v>370</v>
      </c>
      <c r="C216" s="43">
        <v>10</v>
      </c>
      <c r="D216" s="6" t="s">
        <v>771</v>
      </c>
      <c r="E216" s="7" t="s">
        <v>54</v>
      </c>
      <c r="F216" s="7" t="s">
        <v>52</v>
      </c>
      <c r="G216" s="12" t="s">
        <v>262</v>
      </c>
      <c r="H216" s="13"/>
      <c r="I216" s="44">
        <v>111.3</v>
      </c>
      <c r="J216" s="12" t="s">
        <v>322</v>
      </c>
      <c r="K216" s="7"/>
      <c r="L216" s="127" t="s">
        <v>168</v>
      </c>
      <c r="M216" s="7" t="s">
        <v>362</v>
      </c>
      <c r="N216" s="45">
        <v>44092</v>
      </c>
      <c r="Q216"/>
    </row>
    <row r="217" spans="1:19" x14ac:dyDescent="0.3">
      <c r="A217" s="6" t="s">
        <v>772</v>
      </c>
      <c r="B217" s="6" t="s">
        <v>13</v>
      </c>
      <c r="C217" s="43">
        <v>420</v>
      </c>
      <c r="D217" s="6" t="s">
        <v>773</v>
      </c>
      <c r="E217" s="7" t="s">
        <v>54</v>
      </c>
      <c r="F217" s="7" t="s">
        <v>52</v>
      </c>
      <c r="G217" s="12" t="s">
        <v>774</v>
      </c>
      <c r="H217" s="13"/>
      <c r="I217" s="44">
        <v>2972</v>
      </c>
      <c r="J217" s="12" t="s">
        <v>15</v>
      </c>
      <c r="K217" s="7"/>
      <c r="L217" s="7" t="s">
        <v>168</v>
      </c>
      <c r="M217" s="7" t="s">
        <v>362</v>
      </c>
      <c r="N217" s="45">
        <v>44092</v>
      </c>
      <c r="Q217"/>
    </row>
    <row r="218" spans="1:19" x14ac:dyDescent="0.3">
      <c r="A218" s="6" t="s">
        <v>342</v>
      </c>
      <c r="B218" s="6" t="s">
        <v>195</v>
      </c>
      <c r="C218" s="48">
        <v>3</v>
      </c>
      <c r="D218" s="6" t="s">
        <v>343</v>
      </c>
      <c r="E218" s="7" t="s">
        <v>173</v>
      </c>
      <c r="F218" s="7" t="s">
        <v>52</v>
      </c>
      <c r="G218" s="12" t="s">
        <v>169</v>
      </c>
      <c r="H218" s="44"/>
      <c r="I218" s="44">
        <v>89.21</v>
      </c>
      <c r="J218" s="12" t="s">
        <v>182</v>
      </c>
      <c r="K218" s="7"/>
      <c r="L218" s="7" t="s">
        <v>168</v>
      </c>
      <c r="M218" s="7" t="s">
        <v>362</v>
      </c>
      <c r="N218" s="45">
        <v>43914</v>
      </c>
      <c r="P218" t="s">
        <v>705</v>
      </c>
      <c r="Q218" s="2">
        <v>6245</v>
      </c>
      <c r="S218" s="2" t="s">
        <v>791</v>
      </c>
    </row>
    <row r="219" spans="1:19" x14ac:dyDescent="0.3">
      <c r="A219" s="6" t="s">
        <v>349</v>
      </c>
      <c r="B219" s="6" t="s">
        <v>195</v>
      </c>
      <c r="C219" s="48">
        <v>16</v>
      </c>
      <c r="D219" s="6" t="s">
        <v>350</v>
      </c>
      <c r="E219" s="7" t="s">
        <v>173</v>
      </c>
      <c r="F219" s="7" t="s">
        <v>52</v>
      </c>
      <c r="G219" s="12" t="s">
        <v>174</v>
      </c>
      <c r="H219" s="13"/>
      <c r="I219" s="44">
        <v>43.59</v>
      </c>
      <c r="J219" s="12" t="s">
        <v>182</v>
      </c>
      <c r="K219" s="7"/>
      <c r="L219" s="7" t="s">
        <v>168</v>
      </c>
      <c r="M219" s="7" t="s">
        <v>362</v>
      </c>
      <c r="N219" s="45">
        <v>43915</v>
      </c>
      <c r="P219" t="s">
        <v>705</v>
      </c>
      <c r="Q219" s="2">
        <v>6245</v>
      </c>
      <c r="S219" s="2" t="s">
        <v>791</v>
      </c>
    </row>
    <row r="220" spans="1:19" x14ac:dyDescent="0.3">
      <c r="A220" s="6" t="s">
        <v>349</v>
      </c>
      <c r="B220" s="6" t="s">
        <v>195</v>
      </c>
      <c r="C220" s="48">
        <v>4</v>
      </c>
      <c r="D220" s="6" t="s">
        <v>350</v>
      </c>
      <c r="E220" s="7" t="s">
        <v>173</v>
      </c>
      <c r="F220" s="7" t="s">
        <v>52</v>
      </c>
      <c r="G220" s="12" t="s">
        <v>174</v>
      </c>
      <c r="H220" s="13"/>
      <c r="I220" s="44">
        <v>10.98</v>
      </c>
      <c r="J220" s="12" t="s">
        <v>182</v>
      </c>
      <c r="K220" s="7"/>
      <c r="L220" s="7" t="s">
        <v>168</v>
      </c>
      <c r="M220" s="7" t="s">
        <v>362</v>
      </c>
      <c r="N220" s="45">
        <v>43915</v>
      </c>
      <c r="P220" t="s">
        <v>705</v>
      </c>
      <c r="Q220" s="2">
        <v>6245</v>
      </c>
      <c r="S220" s="2" t="s">
        <v>791</v>
      </c>
    </row>
    <row r="221" spans="1:19" x14ac:dyDescent="0.3">
      <c r="A221" s="6" t="s">
        <v>278</v>
      </c>
      <c r="B221" s="6" t="s">
        <v>195</v>
      </c>
      <c r="C221" s="43">
        <v>1</v>
      </c>
      <c r="D221" s="6" t="s">
        <v>279</v>
      </c>
      <c r="E221" s="7" t="s">
        <v>173</v>
      </c>
      <c r="F221" s="7" t="s">
        <v>52</v>
      </c>
      <c r="G221" s="12" t="s">
        <v>262</v>
      </c>
      <c r="H221" s="13"/>
      <c r="I221" s="44">
        <v>67.14</v>
      </c>
      <c r="J221" s="12" t="s">
        <v>182</v>
      </c>
      <c r="K221" s="7"/>
      <c r="L221" s="7" t="s">
        <v>168</v>
      </c>
      <c r="M221" s="7" t="s">
        <v>362</v>
      </c>
      <c r="N221" s="45">
        <v>43944</v>
      </c>
      <c r="P221" t="s">
        <v>705</v>
      </c>
      <c r="Q221" s="2">
        <v>6245</v>
      </c>
      <c r="S221" s="2" t="s">
        <v>791</v>
      </c>
    </row>
    <row r="222" spans="1:19" x14ac:dyDescent="0.3">
      <c r="A222" s="6" t="s">
        <v>474</v>
      </c>
      <c r="B222" s="6" t="s">
        <v>195</v>
      </c>
      <c r="C222" s="43">
        <v>2</v>
      </c>
      <c r="D222" s="6" t="s">
        <v>475</v>
      </c>
      <c r="E222" s="7" t="s">
        <v>173</v>
      </c>
      <c r="F222" s="7" t="s">
        <v>52</v>
      </c>
      <c r="G222" s="12" t="s">
        <v>473</v>
      </c>
      <c r="H222" s="13"/>
      <c r="I222" s="44">
        <v>724.1</v>
      </c>
      <c r="J222" s="12" t="s">
        <v>182</v>
      </c>
      <c r="K222" s="15">
        <v>44001</v>
      </c>
      <c r="L222" s="7">
        <v>238416</v>
      </c>
      <c r="M222" s="7" t="s">
        <v>362</v>
      </c>
      <c r="N222" s="45"/>
      <c r="P222" t="s">
        <v>705</v>
      </c>
      <c r="Q222" s="2">
        <v>6245</v>
      </c>
      <c r="S222" s="2" t="s">
        <v>791</v>
      </c>
    </row>
    <row r="223" spans="1:19" x14ac:dyDescent="0.3">
      <c r="A223" s="6" t="s">
        <v>467</v>
      </c>
      <c r="B223" s="6" t="s">
        <v>195</v>
      </c>
      <c r="C223" s="43">
        <v>1</v>
      </c>
      <c r="D223" s="6"/>
      <c r="E223" s="7" t="s">
        <v>173</v>
      </c>
      <c r="F223" s="7" t="s">
        <v>52</v>
      </c>
      <c r="G223" s="12" t="s">
        <v>169</v>
      </c>
      <c r="H223" s="13"/>
      <c r="I223" s="44">
        <v>69.98</v>
      </c>
      <c r="J223" s="12" t="s">
        <v>182</v>
      </c>
      <c r="K223" s="7"/>
      <c r="L223" s="7" t="s">
        <v>168</v>
      </c>
      <c r="M223" s="7" t="s">
        <v>362</v>
      </c>
      <c r="N223" s="45">
        <v>43962</v>
      </c>
      <c r="P223" t="s">
        <v>705</v>
      </c>
      <c r="Q223" s="2">
        <v>6245</v>
      </c>
      <c r="S223" s="2" t="s">
        <v>791</v>
      </c>
    </row>
    <row r="224" spans="1:19" x14ac:dyDescent="0.3">
      <c r="A224" s="6" t="s">
        <v>419</v>
      </c>
      <c r="B224" s="6" t="s">
        <v>195</v>
      </c>
      <c r="C224" s="48"/>
      <c r="D224" s="6" t="s">
        <v>468</v>
      </c>
      <c r="E224" s="7" t="s">
        <v>173</v>
      </c>
      <c r="F224" s="7" t="s">
        <v>52</v>
      </c>
      <c r="G224" s="12" t="s">
        <v>262</v>
      </c>
      <c r="H224" s="13"/>
      <c r="I224" s="44">
        <v>5.99</v>
      </c>
      <c r="J224" s="12" t="s">
        <v>182</v>
      </c>
      <c r="K224" s="7"/>
      <c r="L224" s="127" t="s">
        <v>168</v>
      </c>
      <c r="M224" s="7" t="s">
        <v>362</v>
      </c>
      <c r="N224" s="50">
        <v>43963</v>
      </c>
      <c r="P224" t="s">
        <v>705</v>
      </c>
      <c r="Q224" s="2">
        <v>6245</v>
      </c>
      <c r="S224" s="2" t="s">
        <v>791</v>
      </c>
    </row>
    <row r="225" spans="1:19" x14ac:dyDescent="0.3">
      <c r="A225" s="6" t="s">
        <v>415</v>
      </c>
      <c r="B225" s="6" t="s">
        <v>195</v>
      </c>
      <c r="C225" s="43">
        <v>2</v>
      </c>
      <c r="D225" s="6"/>
      <c r="E225" s="7" t="s">
        <v>173</v>
      </c>
      <c r="F225" s="7" t="s">
        <v>52</v>
      </c>
      <c r="G225" s="12" t="s">
        <v>416</v>
      </c>
      <c r="H225" s="13"/>
      <c r="I225" s="44">
        <v>128.54</v>
      </c>
      <c r="J225" s="12" t="s">
        <v>182</v>
      </c>
      <c r="K225" s="7"/>
      <c r="L225" s="7" t="s">
        <v>168</v>
      </c>
      <c r="M225" s="7" t="s">
        <v>362</v>
      </c>
      <c r="N225" s="50">
        <v>43964</v>
      </c>
      <c r="P225" t="s">
        <v>705</v>
      </c>
      <c r="Q225" s="2">
        <v>6246</v>
      </c>
      <c r="S225" s="2" t="s">
        <v>791</v>
      </c>
    </row>
    <row r="226" spans="1:19" x14ac:dyDescent="0.3">
      <c r="A226" s="6" t="s">
        <v>419</v>
      </c>
      <c r="B226" s="6" t="s">
        <v>195</v>
      </c>
      <c r="C226" s="43"/>
      <c r="D226" s="6" t="s">
        <v>469</v>
      </c>
      <c r="E226" s="7" t="s">
        <v>173</v>
      </c>
      <c r="F226" s="7" t="s">
        <v>52</v>
      </c>
      <c r="G226" s="12" t="s">
        <v>169</v>
      </c>
      <c r="H226" s="13"/>
      <c r="I226" s="44">
        <v>27</v>
      </c>
      <c r="J226" s="12" t="s">
        <v>182</v>
      </c>
      <c r="K226" s="7"/>
      <c r="L226" s="7" t="s">
        <v>168</v>
      </c>
      <c r="M226" s="7" t="s">
        <v>362</v>
      </c>
      <c r="N226" s="50">
        <v>43965</v>
      </c>
      <c r="P226" t="s">
        <v>705</v>
      </c>
      <c r="Q226" s="2">
        <v>6245</v>
      </c>
      <c r="S226" s="2" t="s">
        <v>791</v>
      </c>
    </row>
    <row r="227" spans="1:19" x14ac:dyDescent="0.3">
      <c r="A227" s="6" t="s">
        <v>419</v>
      </c>
      <c r="B227" s="6" t="s">
        <v>195</v>
      </c>
      <c r="C227" s="43"/>
      <c r="D227" s="6" t="s">
        <v>418</v>
      </c>
      <c r="E227" s="7" t="s">
        <v>173</v>
      </c>
      <c r="F227" s="7" t="s">
        <v>52</v>
      </c>
      <c r="G227" s="12" t="s">
        <v>169</v>
      </c>
      <c r="H227" s="13"/>
      <c r="I227" s="44">
        <v>46.86</v>
      </c>
      <c r="J227" s="12" t="s">
        <v>182</v>
      </c>
      <c r="K227" s="7"/>
      <c r="L227" s="7" t="s">
        <v>168</v>
      </c>
      <c r="M227" s="7" t="s">
        <v>362</v>
      </c>
      <c r="N227" s="50">
        <v>43966</v>
      </c>
      <c r="P227" t="s">
        <v>705</v>
      </c>
      <c r="Q227" s="2">
        <v>6245</v>
      </c>
      <c r="S227" s="2" t="s">
        <v>791</v>
      </c>
    </row>
    <row r="228" spans="1:19" x14ac:dyDescent="0.3">
      <c r="A228" s="6" t="s">
        <v>420</v>
      </c>
      <c r="B228" s="6" t="s">
        <v>195</v>
      </c>
      <c r="C228" s="43">
        <v>6</v>
      </c>
      <c r="D228" s="6" t="s">
        <v>422</v>
      </c>
      <c r="E228" s="7" t="s">
        <v>173</v>
      </c>
      <c r="F228" s="7" t="s">
        <v>52</v>
      </c>
      <c r="G228" s="12" t="s">
        <v>421</v>
      </c>
      <c r="H228" s="13"/>
      <c r="I228" s="44">
        <v>101.88</v>
      </c>
      <c r="J228" s="12" t="s">
        <v>182</v>
      </c>
      <c r="K228" s="7"/>
      <c r="L228" s="7" t="s">
        <v>168</v>
      </c>
      <c r="M228" s="7" t="s">
        <v>362</v>
      </c>
      <c r="N228" s="50">
        <v>43969</v>
      </c>
      <c r="P228" t="s">
        <v>705</v>
      </c>
      <c r="Q228" s="2">
        <v>6245</v>
      </c>
      <c r="S228" s="2" t="s">
        <v>791</v>
      </c>
    </row>
    <row r="229" spans="1:19" x14ac:dyDescent="0.3">
      <c r="A229" s="6" t="s">
        <v>419</v>
      </c>
      <c r="B229" s="6" t="s">
        <v>195</v>
      </c>
      <c r="C229" s="48"/>
      <c r="D229" s="6" t="s">
        <v>468</v>
      </c>
      <c r="E229" s="7" t="s">
        <v>173</v>
      </c>
      <c r="F229" s="7" t="s">
        <v>52</v>
      </c>
      <c r="G229" s="12" t="s">
        <v>262</v>
      </c>
      <c r="H229" s="13"/>
      <c r="I229" s="44">
        <v>51.98</v>
      </c>
      <c r="J229" s="12" t="s">
        <v>182</v>
      </c>
      <c r="K229" s="7"/>
      <c r="L229" s="127" t="s">
        <v>168</v>
      </c>
      <c r="M229" s="7" t="s">
        <v>362</v>
      </c>
      <c r="N229" s="50">
        <v>43963</v>
      </c>
      <c r="P229" t="s">
        <v>705</v>
      </c>
      <c r="Q229" s="2">
        <v>6245</v>
      </c>
      <c r="S229" s="2" t="s">
        <v>791</v>
      </c>
    </row>
    <row r="230" spans="1:19" x14ac:dyDescent="0.3">
      <c r="A230" s="6" t="s">
        <v>470</v>
      </c>
      <c r="B230" s="6" t="s">
        <v>195</v>
      </c>
      <c r="C230" s="43"/>
      <c r="D230" s="6" t="s">
        <v>471</v>
      </c>
      <c r="E230" s="7" t="s">
        <v>173</v>
      </c>
      <c r="F230" s="7" t="s">
        <v>52</v>
      </c>
      <c r="G230" s="12" t="s">
        <v>472</v>
      </c>
      <c r="H230" s="13"/>
      <c r="I230" s="44">
        <v>650.23</v>
      </c>
      <c r="J230" s="12" t="s">
        <v>182</v>
      </c>
      <c r="K230" s="7"/>
      <c r="L230" s="7" t="s">
        <v>168</v>
      </c>
      <c r="M230" s="7" t="s">
        <v>362</v>
      </c>
      <c r="N230" s="50">
        <v>43979</v>
      </c>
      <c r="P230" t="s">
        <v>705</v>
      </c>
      <c r="Q230" s="2">
        <v>6245</v>
      </c>
      <c r="S230" s="2" t="s">
        <v>791</v>
      </c>
    </row>
    <row r="231" spans="1:19" x14ac:dyDescent="0.3">
      <c r="A231" s="6" t="s">
        <v>334</v>
      </c>
      <c r="B231" s="6" t="s">
        <v>195</v>
      </c>
      <c r="C231" s="43">
        <v>2</v>
      </c>
      <c r="D231" s="6" t="s">
        <v>335</v>
      </c>
      <c r="E231" s="7" t="s">
        <v>173</v>
      </c>
      <c r="F231" s="7" t="s">
        <v>52</v>
      </c>
      <c r="G231" s="12" t="s">
        <v>169</v>
      </c>
      <c r="H231" s="13"/>
      <c r="I231" s="13">
        <v>21.96</v>
      </c>
      <c r="J231" s="12" t="s">
        <v>182</v>
      </c>
      <c r="K231" s="7"/>
      <c r="L231" s="7" t="s">
        <v>168</v>
      </c>
      <c r="M231" s="7" t="s">
        <v>362</v>
      </c>
      <c r="N231" s="45">
        <v>43949</v>
      </c>
      <c r="P231" t="s">
        <v>705</v>
      </c>
      <c r="Q231" s="2">
        <v>6245</v>
      </c>
      <c r="S231" s="2" t="s">
        <v>791</v>
      </c>
    </row>
    <row r="232" spans="1:19" x14ac:dyDescent="0.3">
      <c r="A232" s="148" t="s">
        <v>756</v>
      </c>
      <c r="B232" s="148" t="s">
        <v>753</v>
      </c>
      <c r="C232" s="149"/>
      <c r="D232" s="148"/>
      <c r="E232" s="150" t="s">
        <v>173</v>
      </c>
      <c r="F232" s="150"/>
      <c r="G232" s="151"/>
      <c r="H232" s="152"/>
      <c r="I232" s="152">
        <v>-1910.9</v>
      </c>
      <c r="J232" s="151" t="s">
        <v>749</v>
      </c>
      <c r="K232" s="150"/>
      <c r="L232" s="150" t="s">
        <v>750</v>
      </c>
      <c r="M232" s="150"/>
      <c r="N232" s="157"/>
      <c r="O232" s="158"/>
      <c r="P232" s="158"/>
      <c r="Q232" s="158"/>
      <c r="R232" s="158"/>
      <c r="S232" s="159" t="s">
        <v>798</v>
      </c>
    </row>
    <row r="233" spans="1:19" x14ac:dyDescent="0.3">
      <c r="A233" s="148" t="s">
        <v>752</v>
      </c>
      <c r="B233" s="148" t="s">
        <v>753</v>
      </c>
      <c r="C233" s="149"/>
      <c r="D233" s="148"/>
      <c r="E233" s="150" t="s">
        <v>173</v>
      </c>
      <c r="F233" s="150"/>
      <c r="G233" s="151"/>
      <c r="H233" s="152"/>
      <c r="I233" s="152">
        <v>-128.54</v>
      </c>
      <c r="J233" s="151" t="s">
        <v>749</v>
      </c>
      <c r="K233" s="150"/>
      <c r="L233" s="150" t="s">
        <v>750</v>
      </c>
      <c r="M233" s="150"/>
      <c r="N233" s="157"/>
      <c r="O233" s="158"/>
      <c r="P233" s="158"/>
      <c r="Q233" s="158"/>
      <c r="R233" s="158"/>
      <c r="S233" s="159" t="s">
        <v>798</v>
      </c>
    </row>
    <row r="234" spans="1:19" x14ac:dyDescent="0.3">
      <c r="A234" s="6" t="s">
        <v>188</v>
      </c>
      <c r="B234" s="6" t="s">
        <v>161</v>
      </c>
      <c r="C234" s="43">
        <v>12</v>
      </c>
      <c r="D234" s="6" t="s">
        <v>189</v>
      </c>
      <c r="E234" s="7" t="s">
        <v>396</v>
      </c>
      <c r="F234" s="7" t="s">
        <v>52</v>
      </c>
      <c r="G234" s="12" t="s">
        <v>187</v>
      </c>
      <c r="H234" s="13"/>
      <c r="I234" s="44">
        <v>65.89</v>
      </c>
      <c r="J234" s="12" t="s">
        <v>164</v>
      </c>
      <c r="K234" s="7"/>
      <c r="L234" s="7" t="s">
        <v>168</v>
      </c>
      <c r="M234" s="7" t="s">
        <v>362</v>
      </c>
      <c r="N234" s="45">
        <v>43931</v>
      </c>
      <c r="P234" t="s">
        <v>705</v>
      </c>
      <c r="Q234" s="2">
        <v>6245</v>
      </c>
      <c r="S234" s="2" t="s">
        <v>791</v>
      </c>
    </row>
    <row r="235" spans="1:19" x14ac:dyDescent="0.3">
      <c r="A235" s="6" t="s">
        <v>615</v>
      </c>
      <c r="B235" s="6" t="s">
        <v>161</v>
      </c>
      <c r="C235" s="43"/>
      <c r="D235" s="6" t="s">
        <v>616</v>
      </c>
      <c r="E235" s="7" t="s">
        <v>396</v>
      </c>
      <c r="F235" s="7" t="s">
        <v>52</v>
      </c>
      <c r="G235" s="12" t="s">
        <v>169</v>
      </c>
      <c r="H235" s="13"/>
      <c r="I235" s="13">
        <v>15.85</v>
      </c>
      <c r="J235" s="12" t="s">
        <v>267</v>
      </c>
      <c r="K235" s="7"/>
      <c r="L235" s="7" t="s">
        <v>168</v>
      </c>
      <c r="M235" s="7" t="s">
        <v>362</v>
      </c>
      <c r="N235" s="45">
        <v>44013</v>
      </c>
      <c r="P235" t="s">
        <v>705</v>
      </c>
      <c r="Q235" s="2">
        <v>6245</v>
      </c>
      <c r="S235" s="2" t="s">
        <v>791</v>
      </c>
    </row>
    <row r="236" spans="1:19" x14ac:dyDescent="0.3">
      <c r="A236" s="148" t="s">
        <v>756</v>
      </c>
      <c r="B236" s="148" t="s">
        <v>753</v>
      </c>
      <c r="C236" s="149"/>
      <c r="D236" s="148"/>
      <c r="E236" s="150" t="s">
        <v>396</v>
      </c>
      <c r="F236" s="150"/>
      <c r="G236" s="151"/>
      <c r="H236" s="152"/>
      <c r="I236" s="152">
        <v>-81.739999999999995</v>
      </c>
      <c r="J236" s="151" t="s">
        <v>749</v>
      </c>
      <c r="K236" s="150"/>
      <c r="L236" s="150" t="s">
        <v>750</v>
      </c>
      <c r="M236" s="150"/>
      <c r="N236" s="157"/>
      <c r="O236" s="158"/>
      <c r="P236" s="158"/>
      <c r="Q236" s="158"/>
      <c r="R236" s="158"/>
      <c r="S236" s="159" t="s">
        <v>798</v>
      </c>
    </row>
    <row r="237" spans="1:19" x14ac:dyDescent="0.3">
      <c r="A237" s="6" t="s">
        <v>398</v>
      </c>
      <c r="B237" s="6" t="s">
        <v>379</v>
      </c>
      <c r="C237" s="43"/>
      <c r="D237" s="6" t="s">
        <v>383</v>
      </c>
      <c r="E237" s="7" t="s">
        <v>380</v>
      </c>
      <c r="F237" s="7">
        <v>22000397</v>
      </c>
      <c r="G237" s="12" t="s">
        <v>381</v>
      </c>
      <c r="H237" s="13"/>
      <c r="I237" s="44">
        <v>11415.42</v>
      </c>
      <c r="J237" s="12" t="s">
        <v>382</v>
      </c>
      <c r="K237" s="15">
        <v>43994</v>
      </c>
      <c r="L237" s="7" t="s">
        <v>522</v>
      </c>
      <c r="M237" s="7" t="s">
        <v>362</v>
      </c>
      <c r="N237" s="45"/>
      <c r="P237" t="s">
        <v>705</v>
      </c>
      <c r="Q237" s="2">
        <v>6280</v>
      </c>
      <c r="S237" s="2" t="s">
        <v>791</v>
      </c>
    </row>
    <row r="238" spans="1:19" x14ac:dyDescent="0.3">
      <c r="A238" s="6" t="s">
        <v>619</v>
      </c>
      <c r="B238" s="6" t="s">
        <v>379</v>
      </c>
      <c r="C238" s="43" t="s">
        <v>620</v>
      </c>
      <c r="D238" s="6" t="s">
        <v>666</v>
      </c>
      <c r="E238" s="7" t="s">
        <v>380</v>
      </c>
      <c r="F238" s="7">
        <v>22000461</v>
      </c>
      <c r="G238" s="12" t="s">
        <v>381</v>
      </c>
      <c r="H238" s="13"/>
      <c r="I238" s="44">
        <v>10361.6</v>
      </c>
      <c r="J238" s="12" t="s">
        <v>382</v>
      </c>
      <c r="K238" s="15">
        <v>44064</v>
      </c>
      <c r="L238" s="7">
        <v>239168</v>
      </c>
      <c r="M238" s="7" t="s">
        <v>362</v>
      </c>
      <c r="N238" s="45"/>
      <c r="P238" t="s">
        <v>705</v>
      </c>
      <c r="Q238" s="2">
        <v>6280</v>
      </c>
      <c r="S238" s="2" t="s">
        <v>791</v>
      </c>
    </row>
    <row r="239" spans="1:19" x14ac:dyDescent="0.3">
      <c r="A239" s="6" t="s">
        <v>665</v>
      </c>
      <c r="B239" s="6" t="s">
        <v>379</v>
      </c>
      <c r="C239" s="43">
        <v>8</v>
      </c>
      <c r="D239" s="6" t="s">
        <v>667</v>
      </c>
      <c r="E239" s="7" t="s">
        <v>380</v>
      </c>
      <c r="F239" s="7">
        <v>22000461</v>
      </c>
      <c r="G239" s="12" t="s">
        <v>381</v>
      </c>
      <c r="H239" s="13"/>
      <c r="I239" s="44">
        <v>1365.12</v>
      </c>
      <c r="J239" s="12" t="s">
        <v>382</v>
      </c>
      <c r="K239" s="15">
        <v>44064</v>
      </c>
      <c r="L239" s="7">
        <v>239167</v>
      </c>
      <c r="M239" s="7" t="s">
        <v>362</v>
      </c>
      <c r="N239" s="45"/>
      <c r="P239" t="s">
        <v>705</v>
      </c>
      <c r="Q239" s="2">
        <v>6280</v>
      </c>
      <c r="S239" s="2" t="s">
        <v>791</v>
      </c>
    </row>
    <row r="240" spans="1:19" x14ac:dyDescent="0.3">
      <c r="A240" s="148" t="s">
        <v>748</v>
      </c>
      <c r="B240" s="148" t="s">
        <v>753</v>
      </c>
      <c r="C240" s="149"/>
      <c r="D240" s="148"/>
      <c r="E240" s="150" t="s">
        <v>380</v>
      </c>
      <c r="F240" s="150"/>
      <c r="G240" s="151"/>
      <c r="H240" s="152"/>
      <c r="I240" s="152">
        <v>23640.81</v>
      </c>
      <c r="J240" s="151" t="s">
        <v>749</v>
      </c>
      <c r="K240" s="150"/>
      <c r="L240" s="150" t="s">
        <v>750</v>
      </c>
      <c r="M240" s="150"/>
      <c r="N240" s="157"/>
      <c r="O240" s="158"/>
      <c r="P240" s="158"/>
      <c r="Q240" s="158"/>
      <c r="R240" s="158"/>
      <c r="S240" s="159" t="s">
        <v>798</v>
      </c>
    </row>
    <row r="241" spans="1:19" x14ac:dyDescent="0.3">
      <c r="A241" s="148" t="s">
        <v>748</v>
      </c>
      <c r="B241" s="148" t="s">
        <v>753</v>
      </c>
      <c r="C241" s="149"/>
      <c r="D241" s="148"/>
      <c r="E241" s="150" t="s">
        <v>380</v>
      </c>
      <c r="F241" s="150"/>
      <c r="G241" s="151"/>
      <c r="H241" s="152"/>
      <c r="I241" s="152">
        <v>-23142.14</v>
      </c>
      <c r="J241" s="151" t="s">
        <v>749</v>
      </c>
      <c r="K241" s="150"/>
      <c r="L241" s="150" t="s">
        <v>750</v>
      </c>
      <c r="M241" s="150"/>
      <c r="N241" s="157"/>
      <c r="O241" s="158"/>
      <c r="P241" s="158"/>
      <c r="Q241" s="158"/>
      <c r="R241" s="158"/>
      <c r="S241" s="159" t="s">
        <v>798</v>
      </c>
    </row>
    <row r="242" spans="1:19" x14ac:dyDescent="0.3">
      <c r="A242" s="148" t="s">
        <v>754</v>
      </c>
      <c r="B242" s="148" t="s">
        <v>753</v>
      </c>
      <c r="C242" s="149"/>
      <c r="D242" s="148"/>
      <c r="E242" s="150" t="s">
        <v>380</v>
      </c>
      <c r="F242" s="150"/>
      <c r="G242" s="151"/>
      <c r="H242" s="152"/>
      <c r="I242" s="152">
        <v>444.87</v>
      </c>
      <c r="J242" s="151" t="s">
        <v>749</v>
      </c>
      <c r="K242" s="150"/>
      <c r="L242" s="150" t="s">
        <v>755</v>
      </c>
      <c r="M242" s="150"/>
      <c r="N242" s="157"/>
      <c r="O242" s="158"/>
      <c r="P242" s="158"/>
      <c r="Q242" s="158"/>
      <c r="R242" s="158"/>
      <c r="S242" s="159" t="s">
        <v>798</v>
      </c>
    </row>
    <row r="243" spans="1:19" x14ac:dyDescent="0.3">
      <c r="A243" s="6" t="s">
        <v>677</v>
      </c>
      <c r="B243" s="6" t="s">
        <v>379</v>
      </c>
      <c r="C243" s="43">
        <v>10</v>
      </c>
      <c r="D243" s="6" t="s">
        <v>678</v>
      </c>
      <c r="E243" s="7" t="s">
        <v>676</v>
      </c>
      <c r="F243" s="7"/>
      <c r="G243" s="12" t="s">
        <v>679</v>
      </c>
      <c r="H243" s="13">
        <v>0</v>
      </c>
      <c r="I243" s="44">
        <v>5775</v>
      </c>
      <c r="J243" s="12" t="s">
        <v>382</v>
      </c>
      <c r="K243" s="15">
        <v>44104</v>
      </c>
      <c r="L243" s="7">
        <v>239672</v>
      </c>
      <c r="M243" s="7" t="s">
        <v>362</v>
      </c>
      <c r="N243" s="45"/>
      <c r="P243" t="s">
        <v>705</v>
      </c>
      <c r="Q243" s="2" t="s">
        <v>795</v>
      </c>
      <c r="R243" t="s">
        <v>741</v>
      </c>
      <c r="S243" s="2" t="s">
        <v>791</v>
      </c>
    </row>
    <row r="244" spans="1:19" x14ac:dyDescent="0.3">
      <c r="A244" s="6" t="s">
        <v>351</v>
      </c>
      <c r="B244" s="6" t="s">
        <v>46</v>
      </c>
      <c r="C244" s="48">
        <v>3</v>
      </c>
      <c r="D244" s="6" t="s">
        <v>352</v>
      </c>
      <c r="E244" s="7" t="s">
        <v>11</v>
      </c>
      <c r="F244" s="7" t="s">
        <v>52</v>
      </c>
      <c r="G244" s="12" t="s">
        <v>262</v>
      </c>
      <c r="H244" s="44"/>
      <c r="I244" s="44">
        <v>225.96</v>
      </c>
      <c r="J244" s="12" t="s">
        <v>47</v>
      </c>
      <c r="K244" s="7"/>
      <c r="L244" s="7" t="s">
        <v>168</v>
      </c>
      <c r="M244" s="7" t="s">
        <v>362</v>
      </c>
      <c r="N244" s="45">
        <v>43916</v>
      </c>
      <c r="P244" t="s">
        <v>695</v>
      </c>
      <c r="Q244" s="2">
        <v>6246</v>
      </c>
      <c r="S244" s="2" t="s">
        <v>802</v>
      </c>
    </row>
    <row r="245" spans="1:19" x14ac:dyDescent="0.3">
      <c r="A245" s="6" t="s">
        <v>391</v>
      </c>
      <c r="B245" s="6" t="s">
        <v>46</v>
      </c>
      <c r="C245" s="43">
        <v>-3</v>
      </c>
      <c r="D245" s="6" t="s">
        <v>352</v>
      </c>
      <c r="E245" s="7" t="s">
        <v>11</v>
      </c>
      <c r="F245" s="7" t="s">
        <v>52</v>
      </c>
      <c r="G245" s="12" t="s">
        <v>392</v>
      </c>
      <c r="H245" s="13"/>
      <c r="I245" s="44">
        <v>-225.96</v>
      </c>
      <c r="J245" s="12" t="s">
        <v>47</v>
      </c>
      <c r="K245" s="7"/>
      <c r="L245" s="7" t="s">
        <v>168</v>
      </c>
      <c r="M245" s="7" t="s">
        <v>362</v>
      </c>
      <c r="N245" s="50">
        <v>43949</v>
      </c>
      <c r="P245" t="s">
        <v>695</v>
      </c>
      <c r="Q245" s="2">
        <v>6246</v>
      </c>
      <c r="S245" s="2" t="s">
        <v>802</v>
      </c>
    </row>
    <row r="246" spans="1:19" x14ac:dyDescent="0.3">
      <c r="A246" s="6" t="s">
        <v>265</v>
      </c>
      <c r="B246" s="6" t="s">
        <v>161</v>
      </c>
      <c r="C246" s="43">
        <v>6</v>
      </c>
      <c r="D246" s="6" t="s">
        <v>266</v>
      </c>
      <c r="E246" s="7" t="s">
        <v>11</v>
      </c>
      <c r="F246" s="7" t="s">
        <v>52</v>
      </c>
      <c r="G246" s="12" t="s">
        <v>169</v>
      </c>
      <c r="H246" s="13"/>
      <c r="I246" s="44">
        <v>89.82</v>
      </c>
      <c r="J246" s="12" t="s">
        <v>267</v>
      </c>
      <c r="K246" s="7"/>
      <c r="L246" s="7" t="s">
        <v>168</v>
      </c>
      <c r="M246" s="7" t="s">
        <v>362</v>
      </c>
      <c r="P246" t="s">
        <v>705</v>
      </c>
      <c r="Q246" s="2">
        <v>6245</v>
      </c>
      <c r="S246" s="2" t="s">
        <v>791</v>
      </c>
    </row>
    <row r="247" spans="1:19" x14ac:dyDescent="0.3">
      <c r="A247" s="6" t="s">
        <v>268</v>
      </c>
      <c r="B247" s="6" t="s">
        <v>161</v>
      </c>
      <c r="C247" s="43">
        <v>3</v>
      </c>
      <c r="D247" s="6" t="s">
        <v>270</v>
      </c>
      <c r="E247" s="7" t="s">
        <v>11</v>
      </c>
      <c r="F247" s="7" t="s">
        <v>52</v>
      </c>
      <c r="G247" s="12" t="s">
        <v>169</v>
      </c>
      <c r="H247" s="13"/>
      <c r="I247" s="44">
        <v>11.91</v>
      </c>
      <c r="J247" s="12" t="s">
        <v>267</v>
      </c>
      <c r="K247" s="7"/>
      <c r="L247" s="7" t="s">
        <v>168</v>
      </c>
      <c r="M247" s="7" t="s">
        <v>362</v>
      </c>
      <c r="P247" t="s">
        <v>705</v>
      </c>
      <c r="Q247" s="2">
        <v>6245</v>
      </c>
      <c r="S247" s="2" t="s">
        <v>791</v>
      </c>
    </row>
    <row r="248" spans="1:19" x14ac:dyDescent="0.3">
      <c r="A248" s="6" t="s">
        <v>268</v>
      </c>
      <c r="B248" s="6" t="s">
        <v>161</v>
      </c>
      <c r="C248" s="43">
        <v>2</v>
      </c>
      <c r="D248" s="6" t="s">
        <v>269</v>
      </c>
      <c r="E248" s="7" t="s">
        <v>11</v>
      </c>
      <c r="F248" s="7" t="s">
        <v>52</v>
      </c>
      <c r="G248" s="12" t="s">
        <v>169</v>
      </c>
      <c r="H248" s="13"/>
      <c r="I248" s="44">
        <v>7.94</v>
      </c>
      <c r="J248" s="12" t="s">
        <v>267</v>
      </c>
      <c r="K248" s="7"/>
      <c r="L248" s="7" t="s">
        <v>168</v>
      </c>
      <c r="M248" s="7" t="s">
        <v>362</v>
      </c>
      <c r="P248" t="s">
        <v>705</v>
      </c>
      <c r="Q248" s="2">
        <v>6245</v>
      </c>
      <c r="S248" s="2" t="s">
        <v>791</v>
      </c>
    </row>
    <row r="249" spans="1:19" x14ac:dyDescent="0.3">
      <c r="A249" s="6" t="s">
        <v>268</v>
      </c>
      <c r="B249" s="6" t="s">
        <v>161</v>
      </c>
      <c r="C249" s="43">
        <v>3</v>
      </c>
      <c r="D249" s="6" t="s">
        <v>269</v>
      </c>
      <c r="E249" s="7" t="s">
        <v>11</v>
      </c>
      <c r="F249" s="7" t="s">
        <v>52</v>
      </c>
      <c r="G249" s="12" t="s">
        <v>169</v>
      </c>
      <c r="H249" s="13"/>
      <c r="I249" s="44">
        <v>11.91</v>
      </c>
      <c r="J249" s="12" t="s">
        <v>267</v>
      </c>
      <c r="K249" s="7"/>
      <c r="L249" s="7" t="s">
        <v>168</v>
      </c>
      <c r="M249" s="7" t="s">
        <v>362</v>
      </c>
      <c r="P249" t="s">
        <v>705</v>
      </c>
      <c r="Q249" s="2">
        <v>6245</v>
      </c>
      <c r="S249" s="2" t="s">
        <v>791</v>
      </c>
    </row>
    <row r="250" spans="1:19" x14ac:dyDescent="0.3">
      <c r="A250" s="6" t="s">
        <v>338</v>
      </c>
      <c r="B250" s="6" t="s">
        <v>46</v>
      </c>
      <c r="C250" s="48">
        <v>200</v>
      </c>
      <c r="D250" s="6" t="s">
        <v>353</v>
      </c>
      <c r="E250" s="7" t="s">
        <v>11</v>
      </c>
      <c r="F250" s="7" t="s">
        <v>52</v>
      </c>
      <c r="G250" s="12" t="s">
        <v>171</v>
      </c>
      <c r="H250" s="44"/>
      <c r="I250" s="44">
        <v>9.99</v>
      </c>
      <c r="J250" s="12" t="s">
        <v>47</v>
      </c>
      <c r="K250" s="7"/>
      <c r="L250" s="7" t="s">
        <v>168</v>
      </c>
      <c r="M250" s="7" t="s">
        <v>362</v>
      </c>
      <c r="N250" s="45">
        <v>43916</v>
      </c>
      <c r="P250" t="s">
        <v>705</v>
      </c>
      <c r="Q250" s="2">
        <v>6246</v>
      </c>
      <c r="S250" s="2" t="s">
        <v>791</v>
      </c>
    </row>
    <row r="251" spans="1:19" x14ac:dyDescent="0.3">
      <c r="A251" s="6" t="s">
        <v>403</v>
      </c>
      <c r="B251" s="6" t="s">
        <v>161</v>
      </c>
      <c r="C251" s="43">
        <v>2</v>
      </c>
      <c r="D251" s="6" t="s">
        <v>404</v>
      </c>
      <c r="E251" s="7" t="s">
        <v>11</v>
      </c>
      <c r="F251" s="7" t="s">
        <v>52</v>
      </c>
      <c r="G251" s="12" t="s">
        <v>424</v>
      </c>
      <c r="H251" s="13"/>
      <c r="I251" s="44">
        <v>132</v>
      </c>
      <c r="J251" s="12" t="s">
        <v>405</v>
      </c>
      <c r="K251" s="7"/>
      <c r="L251" s="7" t="s">
        <v>168</v>
      </c>
      <c r="M251" s="7" t="s">
        <v>362</v>
      </c>
      <c r="N251" s="45">
        <v>43928</v>
      </c>
      <c r="P251" t="s">
        <v>705</v>
      </c>
      <c r="Q251" s="2">
        <v>6299</v>
      </c>
      <c r="S251" s="2" t="s">
        <v>791</v>
      </c>
    </row>
    <row r="252" spans="1:19" x14ac:dyDescent="0.3">
      <c r="A252" s="6" t="s">
        <v>406</v>
      </c>
      <c r="B252" s="6" t="s">
        <v>161</v>
      </c>
      <c r="C252" s="43">
        <v>18</v>
      </c>
      <c r="D252" s="6" t="s">
        <v>407</v>
      </c>
      <c r="E252" s="7" t="s">
        <v>11</v>
      </c>
      <c r="F252" s="7" t="s">
        <v>52</v>
      </c>
      <c r="G252" s="12" t="s">
        <v>262</v>
      </c>
      <c r="H252" s="13"/>
      <c r="I252" s="44">
        <v>139.9</v>
      </c>
      <c r="J252" s="12" t="s">
        <v>405</v>
      </c>
      <c r="K252" s="7"/>
      <c r="L252" s="7" t="s">
        <v>168</v>
      </c>
      <c r="M252" s="7" t="s">
        <v>362</v>
      </c>
      <c r="N252" s="45">
        <v>43959</v>
      </c>
      <c r="P252" t="s">
        <v>705</v>
      </c>
      <c r="Q252" s="2">
        <v>6299</v>
      </c>
      <c r="S252" s="2" t="s">
        <v>791</v>
      </c>
    </row>
    <row r="253" spans="1:19" x14ac:dyDescent="0.3">
      <c r="A253" s="6" t="s">
        <v>540</v>
      </c>
      <c r="B253" s="6" t="s">
        <v>161</v>
      </c>
      <c r="C253" s="43">
        <v>12</v>
      </c>
      <c r="D253" s="6" t="s">
        <v>547</v>
      </c>
      <c r="E253" s="7" t="s">
        <v>11</v>
      </c>
      <c r="F253" s="7" t="s">
        <v>52</v>
      </c>
      <c r="G253" s="12" t="s">
        <v>424</v>
      </c>
      <c r="H253" s="13"/>
      <c r="I253" s="13">
        <v>273</v>
      </c>
      <c r="J253" s="12" t="s">
        <v>405</v>
      </c>
      <c r="K253" s="7"/>
      <c r="L253" s="7" t="s">
        <v>168</v>
      </c>
      <c r="M253" s="7" t="s">
        <v>362</v>
      </c>
      <c r="N253" s="45">
        <v>43962</v>
      </c>
      <c r="P253" t="s">
        <v>705</v>
      </c>
      <c r="Q253" s="2">
        <v>6299</v>
      </c>
      <c r="S253" s="2" t="s">
        <v>791</v>
      </c>
    </row>
    <row r="254" spans="1:19" x14ac:dyDescent="0.3">
      <c r="A254" s="148" t="s">
        <v>756</v>
      </c>
      <c r="B254" s="148" t="s">
        <v>753</v>
      </c>
      <c r="C254" s="149"/>
      <c r="D254" s="148"/>
      <c r="E254" s="150" t="s">
        <v>11</v>
      </c>
      <c r="F254" s="150"/>
      <c r="G254" s="151"/>
      <c r="H254" s="152"/>
      <c r="I254" s="152">
        <v>4404.7299999999996</v>
      </c>
      <c r="J254" s="151" t="s">
        <v>749</v>
      </c>
      <c r="K254" s="150"/>
      <c r="L254" s="150" t="s">
        <v>750</v>
      </c>
      <c r="M254" s="150"/>
      <c r="N254" s="157"/>
      <c r="O254" s="158"/>
      <c r="P254" s="158"/>
      <c r="Q254" s="158"/>
      <c r="R254" s="158"/>
      <c r="S254" s="159" t="s">
        <v>798</v>
      </c>
    </row>
    <row r="255" spans="1:19" x14ac:dyDescent="0.3">
      <c r="A255" s="148" t="s">
        <v>756</v>
      </c>
      <c r="B255" s="148" t="s">
        <v>753</v>
      </c>
      <c r="C255" s="149"/>
      <c r="D255" s="148"/>
      <c r="E255" s="150" t="s">
        <v>11</v>
      </c>
      <c r="F255" s="150"/>
      <c r="G255" s="151"/>
      <c r="H255" s="152"/>
      <c r="I255" s="152">
        <v>-666.48</v>
      </c>
      <c r="J255" s="151" t="s">
        <v>749</v>
      </c>
      <c r="K255" s="150"/>
      <c r="L255" s="150" t="s">
        <v>750</v>
      </c>
      <c r="M255" s="150"/>
      <c r="N255" s="157"/>
      <c r="O255" s="158"/>
      <c r="P255" s="158"/>
      <c r="Q255" s="158"/>
      <c r="R255" s="158"/>
      <c r="S255" s="159" t="s">
        <v>798</v>
      </c>
    </row>
    <row r="256" spans="1:19" x14ac:dyDescent="0.3">
      <c r="A256" s="148" t="s">
        <v>752</v>
      </c>
      <c r="B256" s="148" t="s">
        <v>753</v>
      </c>
      <c r="C256" s="149"/>
      <c r="D256" s="148"/>
      <c r="E256" s="150" t="s">
        <v>11</v>
      </c>
      <c r="F256" s="150"/>
      <c r="G256" s="151"/>
      <c r="H256" s="152"/>
      <c r="I256" s="152">
        <v>-9.99</v>
      </c>
      <c r="J256" s="151" t="s">
        <v>749</v>
      </c>
      <c r="K256" s="150"/>
      <c r="L256" s="150" t="s">
        <v>750</v>
      </c>
      <c r="M256" s="150"/>
      <c r="N256" s="157"/>
      <c r="O256" s="158"/>
      <c r="P256" s="158"/>
      <c r="Q256" s="158"/>
      <c r="R256" s="158"/>
      <c r="S256" s="159" t="s">
        <v>798</v>
      </c>
    </row>
    <row r="257" spans="1:19" x14ac:dyDescent="0.3">
      <c r="A257" s="6" t="s">
        <v>730</v>
      </c>
      <c r="B257" s="6" t="s">
        <v>370</v>
      </c>
      <c r="C257" s="43"/>
      <c r="D257" s="6" t="s">
        <v>731</v>
      </c>
      <c r="E257" s="7" t="s">
        <v>732</v>
      </c>
      <c r="F257" s="7">
        <v>22000547</v>
      </c>
      <c r="G257" s="12" t="s">
        <v>729</v>
      </c>
      <c r="H257" s="13">
        <v>0</v>
      </c>
      <c r="I257" s="13">
        <v>251056</v>
      </c>
      <c r="J257" s="12" t="s">
        <v>322</v>
      </c>
      <c r="K257" s="15">
        <v>44095</v>
      </c>
      <c r="L257" s="7" t="s">
        <v>766</v>
      </c>
      <c r="M257" s="7" t="s">
        <v>362</v>
      </c>
      <c r="N257" s="45"/>
      <c r="P257" t="s">
        <v>790</v>
      </c>
      <c r="Q257" s="2">
        <v>6300</v>
      </c>
      <c r="S257" s="2" t="s">
        <v>791</v>
      </c>
    </row>
    <row r="258" spans="1:19" x14ac:dyDescent="0.3">
      <c r="A258" s="6" t="s">
        <v>769</v>
      </c>
      <c r="B258" s="6" t="s">
        <v>195</v>
      </c>
      <c r="C258" s="43">
        <v>2</v>
      </c>
      <c r="D258" s="6" t="s">
        <v>768</v>
      </c>
      <c r="E258" s="7" t="s">
        <v>767</v>
      </c>
      <c r="F258" s="7" t="s">
        <v>52</v>
      </c>
      <c r="G258" s="12" t="s">
        <v>400</v>
      </c>
      <c r="H258" s="13">
        <v>0</v>
      </c>
      <c r="I258" s="13">
        <v>162.54</v>
      </c>
      <c r="J258" s="12"/>
      <c r="K258" s="15">
        <v>44120</v>
      </c>
      <c r="L258" s="7">
        <v>239853</v>
      </c>
      <c r="M258" s="7" t="s">
        <v>362</v>
      </c>
      <c r="N258" s="45"/>
      <c r="Q258"/>
    </row>
    <row r="259" spans="1:19" x14ac:dyDescent="0.3">
      <c r="A259" s="6" t="s">
        <v>314</v>
      </c>
      <c r="B259" s="6" t="s">
        <v>315</v>
      </c>
      <c r="C259" s="43"/>
      <c r="D259" s="6" t="s">
        <v>316</v>
      </c>
      <c r="E259" s="7" t="s">
        <v>327</v>
      </c>
      <c r="F259" s="7" t="s">
        <v>52</v>
      </c>
      <c r="G259" s="12" t="s">
        <v>317</v>
      </c>
      <c r="H259" s="13"/>
      <c r="I259" s="44">
        <v>15</v>
      </c>
      <c r="J259" s="12" t="s">
        <v>318</v>
      </c>
      <c r="K259" s="7"/>
      <c r="L259" s="7" t="s">
        <v>168</v>
      </c>
      <c r="M259" s="7" t="s">
        <v>362</v>
      </c>
      <c r="N259" s="45">
        <v>43903</v>
      </c>
      <c r="P259" t="s">
        <v>705</v>
      </c>
      <c r="Q259" s="2">
        <v>6512</v>
      </c>
      <c r="S259" s="2" t="s">
        <v>791</v>
      </c>
    </row>
    <row r="260" spans="1:19" x14ac:dyDescent="0.3">
      <c r="A260" s="6" t="s">
        <v>314</v>
      </c>
      <c r="B260" s="6" t="s">
        <v>315</v>
      </c>
      <c r="C260" s="43"/>
      <c r="D260" s="6" t="s">
        <v>316</v>
      </c>
      <c r="E260" s="7" t="s">
        <v>327</v>
      </c>
      <c r="F260" s="7" t="s">
        <v>52</v>
      </c>
      <c r="G260" s="12" t="s">
        <v>317</v>
      </c>
      <c r="H260" s="13"/>
      <c r="I260" s="13">
        <v>15</v>
      </c>
      <c r="J260" s="12" t="s">
        <v>318</v>
      </c>
      <c r="K260" s="7"/>
      <c r="L260" s="7" t="s">
        <v>168</v>
      </c>
      <c r="M260" s="7"/>
      <c r="N260" s="45">
        <v>43934</v>
      </c>
      <c r="O260" t="s">
        <v>680</v>
      </c>
      <c r="P260" t="s">
        <v>705</v>
      </c>
      <c r="Q260" s="2">
        <v>6512</v>
      </c>
      <c r="S260" s="2" t="s">
        <v>791</v>
      </c>
    </row>
    <row r="261" spans="1:19" x14ac:dyDescent="0.3">
      <c r="A261" s="6" t="s">
        <v>309</v>
      </c>
      <c r="B261" s="6" t="s">
        <v>310</v>
      </c>
      <c r="C261" s="43"/>
      <c r="D261" s="6" t="s">
        <v>311</v>
      </c>
      <c r="E261" s="7" t="s">
        <v>328</v>
      </c>
      <c r="F261" s="7" t="s">
        <v>52</v>
      </c>
      <c r="G261" s="12" t="s">
        <v>312</v>
      </c>
      <c r="H261" s="13"/>
      <c r="I261" s="44">
        <v>1365</v>
      </c>
      <c r="J261" s="12" t="s">
        <v>313</v>
      </c>
      <c r="K261" s="7"/>
      <c r="L261" s="7" t="s">
        <v>168</v>
      </c>
      <c r="M261" s="7" t="s">
        <v>362</v>
      </c>
      <c r="N261" s="45">
        <v>43916</v>
      </c>
      <c r="P261" t="s">
        <v>705</v>
      </c>
      <c r="Q261" s="2">
        <v>6299</v>
      </c>
      <c r="S261" s="2" t="s">
        <v>791</v>
      </c>
    </row>
    <row r="262" spans="1:19" x14ac:dyDescent="0.3">
      <c r="A262" s="6" t="s">
        <v>309</v>
      </c>
      <c r="B262" s="6" t="s">
        <v>310</v>
      </c>
      <c r="C262" s="43"/>
      <c r="D262" s="6" t="s">
        <v>311</v>
      </c>
      <c r="E262" s="7" t="s">
        <v>328</v>
      </c>
      <c r="F262" s="7" t="s">
        <v>52</v>
      </c>
      <c r="G262" s="12" t="s">
        <v>312</v>
      </c>
      <c r="H262" s="13"/>
      <c r="I262" s="44">
        <v>1050</v>
      </c>
      <c r="J262" s="12" t="s">
        <v>313</v>
      </c>
      <c r="K262" s="7"/>
      <c r="L262" s="7" t="s">
        <v>168</v>
      </c>
      <c r="M262" s="7" t="s">
        <v>362</v>
      </c>
      <c r="N262" s="45">
        <v>43928</v>
      </c>
      <c r="P262" t="s">
        <v>705</v>
      </c>
      <c r="Q262" s="2">
        <v>6299</v>
      </c>
      <c r="S262" s="2" t="s">
        <v>791</v>
      </c>
    </row>
    <row r="263" spans="1:19" x14ac:dyDescent="0.3">
      <c r="A263" s="6" t="s">
        <v>497</v>
      </c>
      <c r="B263" s="6" t="s">
        <v>310</v>
      </c>
      <c r="C263" s="43"/>
      <c r="D263" s="6" t="s">
        <v>498</v>
      </c>
      <c r="E263" s="7" t="s">
        <v>328</v>
      </c>
      <c r="F263" s="7" t="s">
        <v>52</v>
      </c>
      <c r="G263" s="12" t="s">
        <v>312</v>
      </c>
      <c r="H263" s="13"/>
      <c r="I263" s="13">
        <v>762</v>
      </c>
      <c r="J263" s="12" t="s">
        <v>499</v>
      </c>
      <c r="K263" s="7"/>
      <c r="L263" s="7" t="s">
        <v>168</v>
      </c>
      <c r="M263" s="7" t="s">
        <v>362</v>
      </c>
      <c r="N263" s="50">
        <v>43973</v>
      </c>
      <c r="P263" t="s">
        <v>705</v>
      </c>
      <c r="Q263" s="2">
        <v>6299</v>
      </c>
      <c r="S263" s="2" t="s">
        <v>791</v>
      </c>
    </row>
    <row r="264" spans="1:19" x14ac:dyDescent="0.3">
      <c r="A264" s="6" t="s">
        <v>500</v>
      </c>
      <c r="B264" s="6" t="s">
        <v>310</v>
      </c>
      <c r="C264" s="43"/>
      <c r="D264" s="6" t="s">
        <v>501</v>
      </c>
      <c r="E264" s="7" t="s">
        <v>328</v>
      </c>
      <c r="F264" s="7" t="s">
        <v>52</v>
      </c>
      <c r="G264" s="12" t="s">
        <v>312</v>
      </c>
      <c r="H264" s="13"/>
      <c r="I264" s="13">
        <v>411.3</v>
      </c>
      <c r="J264" s="12" t="s">
        <v>499</v>
      </c>
      <c r="K264" s="7"/>
      <c r="L264" s="7" t="s">
        <v>168</v>
      </c>
      <c r="M264" s="7" t="s">
        <v>362</v>
      </c>
      <c r="N264" s="50">
        <v>43973</v>
      </c>
      <c r="P264" t="s">
        <v>705</v>
      </c>
      <c r="Q264" s="2">
        <v>6299</v>
      </c>
      <c r="S264" s="2" t="s">
        <v>791</v>
      </c>
    </row>
    <row r="265" spans="1:19" x14ac:dyDescent="0.3">
      <c r="A265" s="148" t="s">
        <v>756</v>
      </c>
      <c r="B265" s="148" t="s">
        <v>753</v>
      </c>
      <c r="C265" s="149"/>
      <c r="D265" s="148"/>
      <c r="E265" s="150" t="s">
        <v>328</v>
      </c>
      <c r="F265" s="150"/>
      <c r="G265" s="151"/>
      <c r="H265" s="152"/>
      <c r="I265" s="152">
        <v>-3588.3</v>
      </c>
      <c r="J265" s="151" t="s">
        <v>749</v>
      </c>
      <c r="K265" s="150"/>
      <c r="L265" s="150" t="s">
        <v>750</v>
      </c>
      <c r="M265" s="150"/>
      <c r="N265" s="157"/>
      <c r="O265" s="158"/>
      <c r="P265" s="158"/>
      <c r="Q265" s="158"/>
      <c r="R265" s="158"/>
      <c r="S265" s="159" t="s">
        <v>798</v>
      </c>
    </row>
    <row r="266" spans="1:19" x14ac:dyDescent="0.3">
      <c r="A266" s="6" t="s">
        <v>543</v>
      </c>
      <c r="B266" s="6" t="s">
        <v>46</v>
      </c>
      <c r="C266" s="43">
        <v>1</v>
      </c>
      <c r="D266" s="6" t="s">
        <v>544</v>
      </c>
      <c r="E266" s="7" t="s">
        <v>545</v>
      </c>
      <c r="F266" s="7" t="s">
        <v>52</v>
      </c>
      <c r="G266" s="12" t="s">
        <v>546</v>
      </c>
      <c r="H266" s="13"/>
      <c r="I266" s="13">
        <v>161.81</v>
      </c>
      <c r="J266" s="12" t="s">
        <v>47</v>
      </c>
      <c r="K266" s="7"/>
      <c r="L266" s="7" t="s">
        <v>168</v>
      </c>
      <c r="M266" s="7" t="s">
        <v>362</v>
      </c>
      <c r="N266" s="45">
        <v>43997</v>
      </c>
      <c r="P266" t="s">
        <v>705</v>
      </c>
      <c r="Q266" s="2">
        <v>6540</v>
      </c>
      <c r="S266" s="2" t="s">
        <v>791</v>
      </c>
    </row>
    <row r="267" spans="1:19" x14ac:dyDescent="0.3">
      <c r="A267" s="6" t="s">
        <v>543</v>
      </c>
      <c r="B267" s="6" t="s">
        <v>46</v>
      </c>
      <c r="C267" s="43">
        <v>1</v>
      </c>
      <c r="D267" s="6" t="s">
        <v>609</v>
      </c>
      <c r="E267" s="7" t="s">
        <v>545</v>
      </c>
      <c r="F267" s="7" t="s">
        <v>52</v>
      </c>
      <c r="G267" s="12" t="s">
        <v>610</v>
      </c>
      <c r="H267" s="13"/>
      <c r="I267" s="13">
        <v>1141.3</v>
      </c>
      <c r="J267" s="12" t="s">
        <v>47</v>
      </c>
      <c r="K267" s="7"/>
      <c r="L267" s="7" t="s">
        <v>168</v>
      </c>
      <c r="M267" s="7" t="s">
        <v>362</v>
      </c>
      <c r="N267" s="45">
        <v>44022</v>
      </c>
      <c r="P267" t="s">
        <v>705</v>
      </c>
      <c r="Q267" s="2">
        <v>6540</v>
      </c>
      <c r="S267" s="2" t="s">
        <v>791</v>
      </c>
    </row>
    <row r="268" spans="1:19" x14ac:dyDescent="0.3">
      <c r="A268" s="138" t="s">
        <v>543</v>
      </c>
      <c r="B268" s="138" t="s">
        <v>13</v>
      </c>
      <c r="C268" s="139">
        <v>1</v>
      </c>
      <c r="D268" s="138" t="s">
        <v>544</v>
      </c>
      <c r="E268" s="140" t="s">
        <v>545</v>
      </c>
      <c r="F268" s="140" t="s">
        <v>52</v>
      </c>
      <c r="G268" s="141" t="s">
        <v>662</v>
      </c>
      <c r="H268" s="142"/>
      <c r="I268" s="142">
        <v>143.72</v>
      </c>
      <c r="J268" s="141" t="s">
        <v>322</v>
      </c>
      <c r="K268" s="140"/>
      <c r="L268" s="140" t="s">
        <v>168</v>
      </c>
      <c r="M268" s="140" t="s">
        <v>362</v>
      </c>
      <c r="N268" s="143">
        <v>44034</v>
      </c>
      <c r="O268" s="39" t="s">
        <v>718</v>
      </c>
      <c r="P268" t="s">
        <v>705</v>
      </c>
      <c r="Q268" s="2">
        <v>6540</v>
      </c>
      <c r="S268" s="2" t="s">
        <v>791</v>
      </c>
    </row>
    <row r="269" spans="1:19" ht="14.25" customHeight="1" x14ac:dyDescent="0.3">
      <c r="A269" s="6" t="s">
        <v>408</v>
      </c>
      <c r="B269" s="6" t="s">
        <v>195</v>
      </c>
      <c r="C269" s="43"/>
      <c r="D269" s="6"/>
      <c r="E269" s="7" t="s">
        <v>409</v>
      </c>
      <c r="F269" s="7">
        <v>22000404</v>
      </c>
      <c r="G269" s="12" t="s">
        <v>410</v>
      </c>
      <c r="H269" s="13">
        <v>0</v>
      </c>
      <c r="I269" s="44">
        <v>0</v>
      </c>
      <c r="J269" s="12" t="s">
        <v>182</v>
      </c>
      <c r="K269" s="7"/>
      <c r="L269" s="7"/>
      <c r="M269" s="7"/>
      <c r="N269" s="45"/>
      <c r="P269" t="s">
        <v>706</v>
      </c>
    </row>
    <row r="270" spans="1:19" x14ac:dyDescent="0.3">
      <c r="A270" s="6" t="s">
        <v>408</v>
      </c>
      <c r="B270" s="6" t="s">
        <v>195</v>
      </c>
      <c r="C270" s="43"/>
      <c r="D270" s="6"/>
      <c r="E270" s="7" t="s">
        <v>409</v>
      </c>
      <c r="F270" s="7">
        <v>22000405</v>
      </c>
      <c r="G270" s="12" t="s">
        <v>411</v>
      </c>
      <c r="H270" s="13">
        <v>0</v>
      </c>
      <c r="I270" s="44">
        <v>0</v>
      </c>
      <c r="J270" s="12" t="s">
        <v>182</v>
      </c>
      <c r="K270" s="7"/>
      <c r="L270" s="7"/>
      <c r="M270" s="7"/>
      <c r="N270" s="45"/>
      <c r="P270" t="s">
        <v>706</v>
      </c>
    </row>
    <row r="271" spans="1:19" x14ac:dyDescent="0.3">
      <c r="A271" s="6" t="s">
        <v>534</v>
      </c>
      <c r="B271" s="6" t="s">
        <v>13</v>
      </c>
      <c r="C271" s="43"/>
      <c r="D271" s="6"/>
      <c r="E271" s="7" t="s">
        <v>409</v>
      </c>
      <c r="F271" s="7">
        <v>22000427</v>
      </c>
      <c r="G271" s="12" t="s">
        <v>535</v>
      </c>
      <c r="H271" s="13">
        <v>0</v>
      </c>
      <c r="I271" s="44">
        <v>0</v>
      </c>
      <c r="J271" s="12" t="s">
        <v>322</v>
      </c>
      <c r="K271" s="7"/>
      <c r="L271" s="7"/>
      <c r="M271" s="7"/>
      <c r="N271" s="45"/>
      <c r="P271" t="s">
        <v>739</v>
      </c>
      <c r="Q271" s="2" t="s">
        <v>740</v>
      </c>
      <c r="R271" t="s">
        <v>740</v>
      </c>
    </row>
    <row r="272" spans="1:19" x14ac:dyDescent="0.3">
      <c r="A272" s="6" t="s">
        <v>727</v>
      </c>
      <c r="B272" s="6" t="s">
        <v>370</v>
      </c>
      <c r="C272" s="43"/>
      <c r="D272" s="6" t="s">
        <v>728</v>
      </c>
      <c r="E272" s="7" t="s">
        <v>409</v>
      </c>
      <c r="F272" s="7">
        <v>22000546</v>
      </c>
      <c r="G272" s="12" t="s">
        <v>729</v>
      </c>
      <c r="H272" s="13">
        <v>0</v>
      </c>
      <c r="I272" s="44">
        <v>25105.599999999999</v>
      </c>
      <c r="J272" s="12" t="s">
        <v>322</v>
      </c>
      <c r="K272" s="15">
        <v>44095</v>
      </c>
      <c r="L272" s="7" t="s">
        <v>766</v>
      </c>
      <c r="M272" s="7" t="s">
        <v>362</v>
      </c>
      <c r="N272" s="45"/>
      <c r="P272" t="s">
        <v>790</v>
      </c>
      <c r="Q272" s="2">
        <v>6599</v>
      </c>
      <c r="S272" s="2" t="s">
        <v>791</v>
      </c>
    </row>
    <row r="273" spans="1:19" x14ac:dyDescent="0.3">
      <c r="A273" s="6" t="s">
        <v>507</v>
      </c>
      <c r="B273" s="6" t="s">
        <v>161</v>
      </c>
      <c r="C273" s="43" t="s">
        <v>506</v>
      </c>
      <c r="D273" s="6" t="s">
        <v>508</v>
      </c>
      <c r="E273" s="7" t="s">
        <v>509</v>
      </c>
      <c r="F273" s="7" t="s">
        <v>52</v>
      </c>
      <c r="G273" s="12" t="s">
        <v>507</v>
      </c>
      <c r="H273" s="13"/>
      <c r="I273" s="44">
        <v>49.99</v>
      </c>
      <c r="J273" s="12" t="s">
        <v>510</v>
      </c>
      <c r="K273" s="7"/>
      <c r="L273" s="7" t="s">
        <v>168</v>
      </c>
      <c r="M273" s="7" t="s">
        <v>362</v>
      </c>
      <c r="N273" s="50">
        <v>43983</v>
      </c>
      <c r="P273" t="s">
        <v>705</v>
      </c>
      <c r="Q273" s="2">
        <v>6601</v>
      </c>
      <c r="S273" s="2" t="s">
        <v>791</v>
      </c>
    </row>
    <row r="274" spans="1:19" x14ac:dyDescent="0.3">
      <c r="A274" s="6" t="s">
        <v>507</v>
      </c>
      <c r="B274" s="6" t="s">
        <v>161</v>
      </c>
      <c r="C274" s="43" t="s">
        <v>506</v>
      </c>
      <c r="D274" s="6" t="s">
        <v>508</v>
      </c>
      <c r="E274" s="7" t="s">
        <v>509</v>
      </c>
      <c r="F274" s="7" t="s">
        <v>52</v>
      </c>
      <c r="G274" s="12" t="s">
        <v>507</v>
      </c>
      <c r="H274" s="13"/>
      <c r="I274" s="44">
        <v>49.99</v>
      </c>
      <c r="J274" s="12" t="s">
        <v>510</v>
      </c>
      <c r="K274" s="7"/>
      <c r="L274" s="7" t="s">
        <v>168</v>
      </c>
      <c r="M274" s="7" t="s">
        <v>362</v>
      </c>
      <c r="N274" s="50">
        <v>44013</v>
      </c>
      <c r="P274" t="s">
        <v>705</v>
      </c>
      <c r="Q274" s="2">
        <v>6601</v>
      </c>
      <c r="S274" s="2" t="s">
        <v>791</v>
      </c>
    </row>
    <row r="275" spans="1:19" x14ac:dyDescent="0.3">
      <c r="A275" s="6" t="s">
        <v>507</v>
      </c>
      <c r="B275" s="6" t="s">
        <v>161</v>
      </c>
      <c r="C275" s="43" t="s">
        <v>506</v>
      </c>
      <c r="D275" s="6" t="s">
        <v>508</v>
      </c>
      <c r="E275" s="7" t="s">
        <v>509</v>
      </c>
      <c r="F275" s="7" t="s">
        <v>52</v>
      </c>
      <c r="G275" s="12" t="s">
        <v>507</v>
      </c>
      <c r="H275" s="13"/>
      <c r="I275" s="44">
        <v>49.99</v>
      </c>
      <c r="J275" s="12" t="s">
        <v>510</v>
      </c>
      <c r="K275" s="7"/>
      <c r="L275" s="7" t="s">
        <v>168</v>
      </c>
      <c r="M275" s="7" t="s">
        <v>362</v>
      </c>
      <c r="N275" s="45">
        <v>44044</v>
      </c>
      <c r="P275" t="s">
        <v>705</v>
      </c>
      <c r="Q275" s="2">
        <v>6601</v>
      </c>
      <c r="S275" s="2" t="s">
        <v>791</v>
      </c>
    </row>
    <row r="276" spans="1:19" x14ac:dyDescent="0.3">
      <c r="A276" s="6" t="s">
        <v>507</v>
      </c>
      <c r="B276" s="6" t="s">
        <v>161</v>
      </c>
      <c r="C276" s="43" t="s">
        <v>506</v>
      </c>
      <c r="D276" s="6" t="s">
        <v>508</v>
      </c>
      <c r="E276" s="7" t="s">
        <v>509</v>
      </c>
      <c r="F276" s="7" t="s">
        <v>52</v>
      </c>
      <c r="G276" s="12" t="s">
        <v>507</v>
      </c>
      <c r="H276" s="13"/>
      <c r="I276" s="44">
        <v>49.99</v>
      </c>
      <c r="J276" s="12" t="s">
        <v>510</v>
      </c>
      <c r="K276" s="7"/>
      <c r="L276" s="7" t="s">
        <v>168</v>
      </c>
      <c r="M276" s="7" t="s">
        <v>362</v>
      </c>
      <c r="N276" s="45">
        <v>44075</v>
      </c>
      <c r="Q276"/>
    </row>
    <row r="278" spans="1:19" x14ac:dyDescent="0.3">
      <c r="A278" s="6" t="s">
        <v>646</v>
      </c>
      <c r="B278" s="6" t="s">
        <v>647</v>
      </c>
      <c r="C278" s="43"/>
      <c r="D278" s="6" t="s">
        <v>648</v>
      </c>
      <c r="E278" s="7" t="s">
        <v>782</v>
      </c>
      <c r="F278" s="7">
        <v>22000384</v>
      </c>
      <c r="G278" s="12" t="s">
        <v>649</v>
      </c>
      <c r="H278" s="13"/>
      <c r="I278" s="44">
        <v>100000</v>
      </c>
      <c r="J278" s="12" t="s">
        <v>650</v>
      </c>
      <c r="K278" s="15">
        <v>43948</v>
      </c>
      <c r="L278" s="7">
        <v>237824</v>
      </c>
      <c r="M278" s="7"/>
      <c r="N278" s="50"/>
      <c r="P278" t="s">
        <v>705</v>
      </c>
      <c r="S278" s="2" t="s">
        <v>792</v>
      </c>
    </row>
    <row r="279" spans="1:19" x14ac:dyDescent="0.3">
      <c r="A279" s="6" t="s">
        <v>721</v>
      </c>
      <c r="B279" s="6" t="s">
        <v>647</v>
      </c>
      <c r="C279" s="43"/>
      <c r="D279" s="6" t="s">
        <v>722</v>
      </c>
      <c r="E279" s="7" t="s">
        <v>782</v>
      </c>
      <c r="F279" s="7">
        <v>22000497</v>
      </c>
      <c r="G279" s="12" t="s">
        <v>649</v>
      </c>
      <c r="H279" s="13"/>
      <c r="I279" s="44">
        <v>308170.96999999997</v>
      </c>
      <c r="J279" s="12" t="s">
        <v>723</v>
      </c>
      <c r="K279" s="15"/>
      <c r="L279" s="7"/>
      <c r="M279" s="7"/>
      <c r="N279" s="50"/>
      <c r="P279" t="s">
        <v>705</v>
      </c>
      <c r="S279" s="2" t="s">
        <v>791</v>
      </c>
    </row>
    <row r="280" spans="1:19" x14ac:dyDescent="0.3">
      <c r="A280" s="6" t="s">
        <v>783</v>
      </c>
      <c r="B280" s="6" t="s">
        <v>647</v>
      </c>
      <c r="C280" s="43"/>
      <c r="D280" s="6" t="s">
        <v>784</v>
      </c>
      <c r="E280" s="7" t="s">
        <v>782</v>
      </c>
      <c r="F280" s="7">
        <v>22000555</v>
      </c>
      <c r="G280" s="12" t="s">
        <v>649</v>
      </c>
      <c r="H280" s="13"/>
      <c r="I280" s="44">
        <v>445380.29</v>
      </c>
      <c r="J280" s="12" t="s">
        <v>785</v>
      </c>
      <c r="K280" s="15"/>
      <c r="L280" s="7"/>
      <c r="M280" s="7"/>
      <c r="N280" s="50"/>
      <c r="P280" t="s">
        <v>705</v>
      </c>
      <c r="Q280"/>
      <c r="S280" s="2" t="s">
        <v>791</v>
      </c>
    </row>
    <row r="281" spans="1:19" x14ac:dyDescent="0.3">
      <c r="A281" s="6" t="s">
        <v>304</v>
      </c>
      <c r="B281" s="6" t="s">
        <v>305</v>
      </c>
      <c r="C281" s="43"/>
      <c r="D281" s="6" t="s">
        <v>306</v>
      </c>
      <c r="E281" s="7" t="s">
        <v>329</v>
      </c>
      <c r="F281" s="7" t="s">
        <v>52</v>
      </c>
      <c r="G281" s="12" t="s">
        <v>307</v>
      </c>
      <c r="H281" s="13"/>
      <c r="I281" s="13">
        <v>97</v>
      </c>
      <c r="J281" s="12" t="s">
        <v>308</v>
      </c>
      <c r="K281" s="7"/>
      <c r="L281" s="7" t="s">
        <v>168</v>
      </c>
      <c r="M281" s="7" t="s">
        <v>362</v>
      </c>
      <c r="N281" s="45">
        <v>43903</v>
      </c>
      <c r="P281" t="s">
        <v>705</v>
      </c>
      <c r="Q281" s="2">
        <v>6699</v>
      </c>
      <c r="S281" s="2" t="s">
        <v>791</v>
      </c>
    </row>
    <row r="282" spans="1:19" ht="43.2" x14ac:dyDescent="0.3">
      <c r="A282" s="6" t="s">
        <v>653</v>
      </c>
      <c r="B282" s="6" t="s">
        <v>13</v>
      </c>
      <c r="C282" s="135" t="s">
        <v>657</v>
      </c>
      <c r="D282" s="6" t="s">
        <v>656</v>
      </c>
      <c r="E282" s="7" t="s">
        <v>651</v>
      </c>
      <c r="F282" s="7">
        <v>22000464</v>
      </c>
      <c r="G282" s="12" t="s">
        <v>652</v>
      </c>
      <c r="H282" s="13">
        <v>0</v>
      </c>
      <c r="I282" s="13"/>
      <c r="J282" s="12" t="s">
        <v>658</v>
      </c>
      <c r="K282" s="7"/>
      <c r="L282" s="7"/>
      <c r="M282" s="7"/>
      <c r="N282" s="45"/>
      <c r="Q282" t="s">
        <v>799</v>
      </c>
      <c r="R282" s="156" t="s">
        <v>800</v>
      </c>
    </row>
    <row r="283" spans="1:19" ht="71.25" customHeight="1" x14ac:dyDescent="0.3">
      <c r="A283" s="6" t="s">
        <v>654</v>
      </c>
      <c r="B283" s="6" t="s">
        <v>13</v>
      </c>
      <c r="C283" s="43">
        <v>6</v>
      </c>
      <c r="D283" s="6" t="s">
        <v>659</v>
      </c>
      <c r="E283" s="7" t="s">
        <v>651</v>
      </c>
      <c r="F283" s="7">
        <v>22000465</v>
      </c>
      <c r="G283" s="12" t="s">
        <v>655</v>
      </c>
      <c r="H283" s="13">
        <v>0</v>
      </c>
      <c r="I283" s="13">
        <v>1132.1600000000001</v>
      </c>
      <c r="J283" s="12" t="s">
        <v>658</v>
      </c>
      <c r="K283" s="15">
        <v>44085</v>
      </c>
      <c r="L283" s="7">
        <v>239365</v>
      </c>
      <c r="M283" s="7" t="s">
        <v>362</v>
      </c>
      <c r="N283" s="45"/>
      <c r="P283" t="s">
        <v>707</v>
      </c>
      <c r="Q283" s="2" t="s">
        <v>734</v>
      </c>
      <c r="R283" s="156" t="s">
        <v>796</v>
      </c>
      <c r="S283" s="160" t="s">
        <v>797</v>
      </c>
    </row>
    <row r="284" spans="1:19" x14ac:dyDescent="0.3">
      <c r="A284" s="148" t="s">
        <v>763</v>
      </c>
      <c r="B284" s="148" t="s">
        <v>753</v>
      </c>
      <c r="C284" s="149"/>
      <c r="D284" s="148"/>
      <c r="E284" s="150" t="s">
        <v>651</v>
      </c>
      <c r="F284" s="150"/>
      <c r="G284" s="151"/>
      <c r="H284" s="152"/>
      <c r="I284" s="152">
        <v>-1132.1600000000001</v>
      </c>
      <c r="J284" s="151" t="s">
        <v>749</v>
      </c>
      <c r="K284" s="150"/>
      <c r="L284" s="150" t="s">
        <v>755</v>
      </c>
      <c r="M284" s="150"/>
      <c r="N284" s="157"/>
      <c r="O284" s="158"/>
      <c r="P284" s="158"/>
      <c r="Q284" s="158"/>
      <c r="R284" s="158"/>
      <c r="S284" s="159" t="s">
        <v>798</v>
      </c>
    </row>
    <row r="285" spans="1:19" x14ac:dyDescent="0.3">
      <c r="A285" s="6" t="s">
        <v>654</v>
      </c>
      <c r="B285" s="6" t="s">
        <v>13</v>
      </c>
      <c r="C285" s="43">
        <v>6</v>
      </c>
      <c r="D285" s="6" t="s">
        <v>659</v>
      </c>
      <c r="E285" s="7" t="s">
        <v>651</v>
      </c>
      <c r="F285" s="7">
        <v>22000465</v>
      </c>
      <c r="G285" s="12" t="s">
        <v>655</v>
      </c>
      <c r="H285" s="13">
        <v>0</v>
      </c>
      <c r="I285" s="13">
        <v>29778.639999999999</v>
      </c>
      <c r="J285" s="12" t="s">
        <v>658</v>
      </c>
      <c r="K285" s="15">
        <v>44141</v>
      </c>
      <c r="L285" s="7">
        <v>240182</v>
      </c>
      <c r="M285" s="7" t="s">
        <v>362</v>
      </c>
      <c r="N285" s="45"/>
      <c r="Q285"/>
    </row>
    <row r="286" spans="1:19" x14ac:dyDescent="0.3">
      <c r="A286" s="6" t="s">
        <v>743</v>
      </c>
      <c r="B286" s="6" t="s">
        <v>574</v>
      </c>
      <c r="C286" s="43">
        <v>1</v>
      </c>
      <c r="D286" s="6" t="s">
        <v>744</v>
      </c>
      <c r="E286" s="7" t="s">
        <v>651</v>
      </c>
      <c r="F286" s="7"/>
      <c r="G286" s="12" t="s">
        <v>745</v>
      </c>
      <c r="H286" s="13">
        <v>0</v>
      </c>
      <c r="I286" s="13"/>
      <c r="J286" s="12" t="s">
        <v>322</v>
      </c>
      <c r="K286" s="7"/>
      <c r="L286" s="7"/>
      <c r="M286" s="7"/>
      <c r="N286" s="45"/>
      <c r="Q286"/>
    </row>
    <row r="287" spans="1:19" x14ac:dyDescent="0.3">
      <c r="A287" s="6"/>
      <c r="B287" s="6"/>
      <c r="C287" s="43"/>
      <c r="D287" s="6"/>
      <c r="E287" s="7"/>
      <c r="F287" s="7"/>
      <c r="G287" s="12"/>
      <c r="H287" s="13"/>
      <c r="I287" s="13"/>
      <c r="J287" s="12"/>
      <c r="K287" s="7"/>
      <c r="L287" s="7"/>
      <c r="M287" s="7"/>
      <c r="Q287"/>
    </row>
    <row r="288" spans="1:19" x14ac:dyDescent="0.3">
      <c r="H288" s="9">
        <f>SUM(H6:H287)</f>
        <v>0</v>
      </c>
      <c r="I288" s="9">
        <f>SUM(I6:I287)</f>
        <v>1325945.6699999997</v>
      </c>
      <c r="L288" s="128" t="s">
        <v>548</v>
      </c>
      <c r="M288" s="129"/>
      <c r="Q288"/>
    </row>
    <row r="289" spans="7:17" x14ac:dyDescent="0.3">
      <c r="G289" s="47" t="s">
        <v>28</v>
      </c>
      <c r="H289" s="9">
        <v>0</v>
      </c>
      <c r="I289" s="9">
        <v>1325945.67</v>
      </c>
      <c r="Q289"/>
    </row>
    <row r="290" spans="7:17" x14ac:dyDescent="0.3">
      <c r="G290" s="47" t="s">
        <v>303</v>
      </c>
      <c r="H290" s="9">
        <f>H289-H288</f>
        <v>0</v>
      </c>
      <c r="I290" s="9">
        <f>I289-I288</f>
        <v>0</v>
      </c>
      <c r="Q290"/>
    </row>
    <row r="292" spans="7:17" x14ac:dyDescent="0.3">
      <c r="G292" s="8" t="s">
        <v>13</v>
      </c>
      <c r="H292" s="9">
        <f>SUMIF($B$6:$B287,"Fire Dept Adm",$H$6:$H287)</f>
        <v>0</v>
      </c>
      <c r="I292" s="9">
        <f>SUMIF($B$6:$B287,"Fire Dept Adm",$I$6:$I287)</f>
        <v>101528.58000000002</v>
      </c>
    </row>
    <row r="293" spans="7:17" x14ac:dyDescent="0.3">
      <c r="G293" s="8" t="s">
        <v>574</v>
      </c>
      <c r="H293" s="9">
        <f>SUMIF($B$6:$B$287,"OEM",$H$6:$H$287)</f>
        <v>0</v>
      </c>
      <c r="I293" s="9">
        <f>SUMIF($B$6:$B$287,"OEM",$I$6:$I$287)</f>
        <v>32896.39</v>
      </c>
    </row>
    <row r="294" spans="7:17" x14ac:dyDescent="0.3">
      <c r="G294" s="8" t="s">
        <v>46</v>
      </c>
      <c r="H294" s="9">
        <f>SUMIF($B$6:$B$287,"Police",$H$6:$H$287)</f>
        <v>0</v>
      </c>
      <c r="I294" s="9">
        <f>SUMIF($B$6:$B$287,"Police",$I$6:$I$287)</f>
        <v>2376.27</v>
      </c>
    </row>
    <row r="295" spans="7:17" x14ac:dyDescent="0.3">
      <c r="G295" s="8" t="s">
        <v>195</v>
      </c>
      <c r="H295" s="9">
        <f>SUMIF($B$6:$B$287,"Public Works",$H$6:$H$287)</f>
        <v>0</v>
      </c>
      <c r="I295" s="9">
        <f>SUMIF($B$6:$B$287,"Public Works",$I$6:$I$287)</f>
        <v>12746.259999999998</v>
      </c>
    </row>
    <row r="296" spans="7:17" x14ac:dyDescent="0.3">
      <c r="G296" s="8" t="s">
        <v>280</v>
      </c>
      <c r="H296" s="9">
        <f>SUMIF($B$6:$B$287,"Commun Dev",$H$6:$H$287)</f>
        <v>0</v>
      </c>
      <c r="I296" s="9">
        <f>SUMIF($B$6:$B$287,"Commun Dev",$I$6:$I$287)</f>
        <v>87.37</v>
      </c>
    </row>
    <row r="297" spans="7:17" x14ac:dyDescent="0.3">
      <c r="G297" s="8" t="s">
        <v>161</v>
      </c>
      <c r="H297" s="9">
        <f>SUMIF($B$6:$B$287,"Parks &amp; Rec",$H$6:$H$287)</f>
        <v>0</v>
      </c>
      <c r="I297" s="9">
        <f>SUMIF($B$6:$B$287,"Parks &amp; Rec",$I$6:$I$287)</f>
        <v>1129.46</v>
      </c>
    </row>
    <row r="298" spans="7:17" x14ac:dyDescent="0.3">
      <c r="G298" s="8" t="s">
        <v>293</v>
      </c>
      <c r="H298" s="9">
        <f>SUMIF($B$6:$B$287,"Library",$H$6:$H$287)</f>
        <v>0</v>
      </c>
      <c r="I298" s="9">
        <f>SUMIF($B$6:$B$287,"Library",$I$6:$I$287)</f>
        <v>424.07</v>
      </c>
    </row>
    <row r="299" spans="7:17" x14ac:dyDescent="0.3">
      <c r="G299" s="8" t="s">
        <v>377</v>
      </c>
      <c r="H299" s="9">
        <f>SUMIF($B$6:$B$287,"Neighb Life",$H$6:$H$287)</f>
        <v>0</v>
      </c>
      <c r="I299" s="9">
        <f>SUMIF($B$6:$B$287,"Neighb Life",$I$6:$I$287)</f>
        <v>30</v>
      </c>
    </row>
    <row r="300" spans="7:17" x14ac:dyDescent="0.3">
      <c r="G300" s="8" t="s">
        <v>310</v>
      </c>
      <c r="H300" s="9">
        <f>SUMIF($B$6:$B$287,"CM Office",$H$6:$H$287)</f>
        <v>0</v>
      </c>
      <c r="I300" s="9">
        <f>SUMIF($B$6:$B$287,"CM Office",$I$6:$I$287)</f>
        <v>3674.07</v>
      </c>
    </row>
    <row r="301" spans="7:17" x14ac:dyDescent="0.3">
      <c r="G301" s="8" t="s">
        <v>305</v>
      </c>
      <c r="H301" s="9">
        <f>SUMIF($B$6:$B$287,"Public Info",$H$6:$H$287)</f>
        <v>0</v>
      </c>
      <c r="I301" s="9">
        <f>SUMIF($B$6:$B$287,"Public Info",$I$6:$I$287)</f>
        <v>97</v>
      </c>
    </row>
    <row r="302" spans="7:17" x14ac:dyDescent="0.3">
      <c r="G302" s="8" t="s">
        <v>212</v>
      </c>
      <c r="H302" s="9">
        <f>SUMIF($B$6:$B$287,"Court",$H$6:$H$287)</f>
        <v>0</v>
      </c>
      <c r="I302" s="9">
        <f>SUMIF($B$6:$B$287,"Court",$I$6:$I$287)</f>
        <v>741.4</v>
      </c>
    </row>
    <row r="303" spans="7:17" x14ac:dyDescent="0.3">
      <c r="G303" s="8" t="s">
        <v>379</v>
      </c>
      <c r="H303" s="9">
        <f>SUMIF($B$6:$B$287,"IT",$H$6:$H$287)</f>
        <v>0</v>
      </c>
      <c r="I303" s="9">
        <f>SUMIF($B$6:$B$287,"IT",$I$6:$I$287)</f>
        <v>28917.14</v>
      </c>
    </row>
    <row r="304" spans="7:17" x14ac:dyDescent="0.3">
      <c r="G304" s="8" t="s">
        <v>647</v>
      </c>
      <c r="H304" s="9">
        <f>SUMIF($B$6:$B$287,"Econ Dev",$H$6:$H$287)</f>
        <v>0</v>
      </c>
      <c r="I304" s="9">
        <f>SUMIF($B$6:$B$287,"Econ Dev",$I$6:$I$287)</f>
        <v>853551.26</v>
      </c>
    </row>
    <row r="305" spans="1:14" x14ac:dyDescent="0.3">
      <c r="G305" s="56" t="s">
        <v>397</v>
      </c>
      <c r="H305" s="9">
        <f>SUMIF($B$6:$B$287,"Unknown at this time",$H$6:$H$287)</f>
        <v>0</v>
      </c>
      <c r="I305" s="9">
        <f>SUMIF($B$6:$B$287,"Unknown at this time",$I$6:$I$287)</f>
        <v>0</v>
      </c>
    </row>
    <row r="306" spans="1:14" x14ac:dyDescent="0.3">
      <c r="G306" s="8" t="s">
        <v>378</v>
      </c>
      <c r="H306" s="9">
        <f>SUMIF($B$6:$B$287,"City-Wide",$H$6:$H$287)</f>
        <v>0</v>
      </c>
      <c r="I306" s="9">
        <f>SUMIF($B$6:$B$287,"City-Wide",$I$6:$I$287)</f>
        <v>287746.39999999997</v>
      </c>
    </row>
    <row r="307" spans="1:14" x14ac:dyDescent="0.3">
      <c r="G307" s="8" t="s">
        <v>753</v>
      </c>
      <c r="H307" s="9">
        <f>SUMIF($B$6:$B$287,"Grant Rcls",$H$6:$H$287)</f>
        <v>0</v>
      </c>
      <c r="I307" s="9">
        <f>SUMIF($B$6:$B$287,"Grant Rcls",$I$6:$I$287)</f>
        <v>6.8212102632969618E-13</v>
      </c>
    </row>
    <row r="308" spans="1:14" x14ac:dyDescent="0.3">
      <c r="H308" s="51">
        <f>SUM(H292:H307)</f>
        <v>0</v>
      </c>
      <c r="I308" s="51">
        <f>SUM(I292:I307)</f>
        <v>1325945.67</v>
      </c>
    </row>
    <row r="309" spans="1:14" x14ac:dyDescent="0.3">
      <c r="H309" s="20">
        <f>H289-H308</f>
        <v>0</v>
      </c>
      <c r="I309" s="20">
        <f>I289-I308</f>
        <v>0</v>
      </c>
    </row>
    <row r="310" spans="1:14" x14ac:dyDescent="0.3">
      <c r="H310" s="20"/>
      <c r="I310" s="20"/>
    </row>
    <row r="311" spans="1:14" ht="9.75" customHeight="1" x14ac:dyDescent="0.3">
      <c r="A311" s="52"/>
      <c r="B311" s="52"/>
      <c r="C311" s="53"/>
      <c r="D311" s="52"/>
      <c r="E311" s="53"/>
      <c r="F311" s="53"/>
      <c r="G311" s="54"/>
      <c r="H311" s="55"/>
      <c r="I311" s="55"/>
      <c r="J311" s="52"/>
      <c r="K311" s="53"/>
      <c r="L311" s="53"/>
      <c r="M311" s="52"/>
      <c r="N311" s="52"/>
    </row>
    <row r="312" spans="1:14" x14ac:dyDescent="0.3">
      <c r="A312" s="57" t="s">
        <v>190</v>
      </c>
    </row>
  </sheetData>
  <autoFilter ref="A4:T290" xr:uid="{6643C2E6-903E-450E-A16B-39C950B372EB}"/>
  <mergeCells count="3">
    <mergeCell ref="A1:D1"/>
    <mergeCell ref="A3:D3"/>
    <mergeCell ref="A5:C5"/>
  </mergeCells>
  <pageMargins left="0.25" right="0.25" top="1" bottom="0.75" header="0.3" footer="0.3"/>
  <pageSetup scale="48" fitToHeight="0" orientation="landscape" r:id="rId1"/>
  <headerFooter>
    <oddFooter>&amp;C&amp;Z&amp;F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28B7-2D17-4DA5-8CBA-B9DDE767D3D5}">
  <sheetPr>
    <tabColor theme="3" tint="0.59999389629810485"/>
    <pageSetUpPr fitToPage="1"/>
  </sheetPr>
  <dimension ref="A1:N39"/>
  <sheetViews>
    <sheetView tabSelected="1" zoomScaleNormal="100" workbookViewId="0">
      <selection activeCell="I14" sqref="I14"/>
    </sheetView>
  </sheetViews>
  <sheetFormatPr defaultRowHeight="14.4" x14ac:dyDescent="0.3"/>
  <cols>
    <col min="1" max="1" width="41.44140625" bestFit="1" customWidth="1"/>
    <col min="2" max="2" width="14" customWidth="1"/>
    <col min="3" max="3" width="8" style="2" customWidth="1"/>
    <col min="4" max="4" width="32" customWidth="1"/>
    <col min="5" max="5" width="15.33203125" style="2" customWidth="1"/>
    <col min="6" max="6" width="9.33203125" style="2"/>
    <col min="7" max="7" width="20.44140625" style="8" bestFit="1" customWidth="1"/>
    <col min="8" max="8" width="12.33203125" style="9" bestFit="1" customWidth="1"/>
    <col min="9" max="9" width="11.44140625" style="9" customWidth="1"/>
    <col min="10" max="10" width="16.33203125" bestFit="1" customWidth="1"/>
    <col min="11" max="11" width="11.5546875" style="2" customWidth="1"/>
    <col min="12" max="12" width="12.44140625" style="2" customWidth="1"/>
    <col min="13" max="13" width="14.6640625" bestFit="1" customWidth="1"/>
  </cols>
  <sheetData>
    <row r="1" spans="1:14" x14ac:dyDescent="0.3">
      <c r="A1" s="189" t="s">
        <v>5</v>
      </c>
      <c r="B1" s="189"/>
      <c r="C1" s="189"/>
      <c r="D1" s="189"/>
    </row>
    <row r="2" spans="1:14" x14ac:dyDescent="0.3">
      <c r="A2" s="3"/>
      <c r="B2" s="3"/>
      <c r="C2" s="3"/>
      <c r="D2" s="3"/>
      <c r="M2" s="3" t="s">
        <v>155</v>
      </c>
    </row>
    <row r="3" spans="1:14" x14ac:dyDescent="0.3">
      <c r="A3" s="188" t="s">
        <v>4</v>
      </c>
      <c r="B3" s="188"/>
      <c r="C3" s="188"/>
      <c r="D3" s="188"/>
      <c r="M3" s="3" t="s">
        <v>156</v>
      </c>
    </row>
    <row r="4" spans="1:14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</row>
    <row r="5" spans="1:14" x14ac:dyDescent="0.3">
      <c r="A5" s="6" t="s">
        <v>524</v>
      </c>
      <c r="B5" s="6" t="s">
        <v>13</v>
      </c>
      <c r="C5" s="48"/>
      <c r="D5" s="6" t="s">
        <v>525</v>
      </c>
      <c r="E5" s="7" t="s">
        <v>523</v>
      </c>
      <c r="F5" s="7" t="s">
        <v>52</v>
      </c>
      <c r="G5" s="12" t="s">
        <v>526</v>
      </c>
      <c r="H5" s="44"/>
      <c r="I5" s="44">
        <v>99.07</v>
      </c>
      <c r="J5" s="12" t="s">
        <v>322</v>
      </c>
      <c r="K5" s="7"/>
      <c r="L5" s="7"/>
      <c r="M5" s="7"/>
    </row>
    <row r="6" spans="1:14" x14ac:dyDescent="0.3">
      <c r="A6" s="6" t="s">
        <v>724</v>
      </c>
      <c r="B6" s="6" t="s">
        <v>13</v>
      </c>
      <c r="C6" s="48"/>
      <c r="D6" s="6" t="s">
        <v>525</v>
      </c>
      <c r="E6" s="7" t="s">
        <v>523</v>
      </c>
      <c r="F6" s="7" t="s">
        <v>52</v>
      </c>
      <c r="G6" s="12" t="s">
        <v>526</v>
      </c>
      <c r="H6" s="13"/>
      <c r="I6" s="13">
        <v>-99.07</v>
      </c>
      <c r="J6" s="12" t="s">
        <v>725</v>
      </c>
      <c r="K6" s="7"/>
      <c r="L6" s="7"/>
      <c r="M6" s="7"/>
      <c r="N6" s="45"/>
    </row>
    <row r="7" spans="1:14" x14ac:dyDescent="0.3">
      <c r="A7" s="6"/>
      <c r="B7" s="6"/>
      <c r="C7" s="43"/>
      <c r="D7" s="6"/>
      <c r="E7" s="7"/>
      <c r="F7" s="7"/>
      <c r="G7" s="12"/>
      <c r="H7" s="13"/>
      <c r="I7" s="13"/>
      <c r="J7" s="12"/>
      <c r="K7" s="7"/>
      <c r="L7" s="7"/>
      <c r="M7" s="7"/>
      <c r="N7" s="45"/>
    </row>
    <row r="8" spans="1:14" x14ac:dyDescent="0.3">
      <c r="A8" s="6"/>
      <c r="B8" s="6"/>
      <c r="C8" s="43"/>
      <c r="D8" s="6"/>
      <c r="E8" s="7"/>
      <c r="F8" s="7"/>
      <c r="G8" s="12"/>
      <c r="H8" s="13"/>
      <c r="I8" s="13"/>
      <c r="J8" s="12"/>
      <c r="K8" s="7"/>
      <c r="L8" s="7"/>
      <c r="M8" s="7"/>
      <c r="N8" s="45"/>
    </row>
    <row r="9" spans="1:14" x14ac:dyDescent="0.3">
      <c r="A9" s="6"/>
      <c r="B9" s="6"/>
      <c r="C9" s="43"/>
      <c r="D9" s="6"/>
      <c r="E9" s="7"/>
      <c r="F9" s="7"/>
      <c r="G9" s="12"/>
      <c r="H9" s="13"/>
      <c r="I9" s="13"/>
      <c r="J9" s="12"/>
      <c r="K9" s="7"/>
      <c r="L9" s="7"/>
      <c r="M9" s="7"/>
      <c r="N9" s="45"/>
    </row>
    <row r="10" spans="1:14" x14ac:dyDescent="0.3">
      <c r="A10" s="6"/>
      <c r="B10" s="6"/>
      <c r="C10" s="43"/>
      <c r="D10" s="6"/>
      <c r="E10" s="7"/>
      <c r="F10" s="7"/>
      <c r="G10" s="12"/>
      <c r="H10" s="13"/>
      <c r="I10" s="13"/>
      <c r="J10" s="12"/>
      <c r="K10" s="7"/>
      <c r="L10" s="7"/>
      <c r="M10" s="7"/>
      <c r="N10" s="45"/>
    </row>
    <row r="11" spans="1:14" x14ac:dyDescent="0.3">
      <c r="A11" s="6"/>
      <c r="B11" s="6"/>
      <c r="C11" s="43"/>
      <c r="D11" s="6"/>
      <c r="E11" s="7"/>
      <c r="F11" s="7"/>
      <c r="G11" s="12"/>
      <c r="H11" s="13"/>
      <c r="I11" s="13"/>
      <c r="J11" s="12"/>
      <c r="K11" s="7"/>
      <c r="L11" s="7"/>
      <c r="M11" s="7"/>
    </row>
    <row r="12" spans="1:14" x14ac:dyDescent="0.3">
      <c r="H12" s="9">
        <f>SUM(H5:H11)</f>
        <v>0</v>
      </c>
      <c r="I12" s="9">
        <f>SUM(I5:I11)</f>
        <v>0</v>
      </c>
    </row>
    <row r="13" spans="1:14" x14ac:dyDescent="0.3">
      <c r="G13" s="47" t="s">
        <v>28</v>
      </c>
      <c r="H13" s="9">
        <v>0</v>
      </c>
      <c r="I13" s="9">
        <v>0</v>
      </c>
    </row>
    <row r="14" spans="1:14" x14ac:dyDescent="0.3">
      <c r="G14" s="47" t="s">
        <v>303</v>
      </c>
      <c r="H14" s="9">
        <f>H13-H12</f>
        <v>0</v>
      </c>
      <c r="I14" s="9">
        <f>I13-I12</f>
        <v>0</v>
      </c>
    </row>
    <row r="16" spans="1:14" x14ac:dyDescent="0.3">
      <c r="G16" s="8" t="s">
        <v>13</v>
      </c>
      <c r="H16" s="9">
        <f>SUMIF($B$5:$B11,"Fire Dept Adm",$H$5:$H11)</f>
        <v>0</v>
      </c>
      <c r="I16" s="9">
        <f>SUMIF($B$5:$B11,"Fire Dept Adm",$I$5:$I11)</f>
        <v>0</v>
      </c>
    </row>
    <row r="17" spans="1:14" x14ac:dyDescent="0.3">
      <c r="G17" s="8" t="s">
        <v>46</v>
      </c>
      <c r="H17" s="9">
        <f>SUMIF($B$5:$B$11,"Police",$H$5:$H$11)</f>
        <v>0</v>
      </c>
      <c r="I17" s="9">
        <f>SUMIF($B$5:$B$11,"Police",$I$5:$I$11)</f>
        <v>0</v>
      </c>
    </row>
    <row r="18" spans="1:14" x14ac:dyDescent="0.3">
      <c r="G18" s="8" t="s">
        <v>195</v>
      </c>
      <c r="H18" s="9">
        <f>SUMIF($B$5:$B$11,"Public Works",$H$5:$H$11)</f>
        <v>0</v>
      </c>
      <c r="I18" s="9">
        <f>SUMIF($B$5:$B$11,"Public Works",$I$5:$I$11)</f>
        <v>0</v>
      </c>
    </row>
    <row r="19" spans="1:14" x14ac:dyDescent="0.3">
      <c r="G19" s="8" t="s">
        <v>280</v>
      </c>
      <c r="H19" s="9">
        <f>SUMIF($B$5:$B$11,"Commun Dev",$H$5:$H$11)</f>
        <v>0</v>
      </c>
      <c r="I19" s="9">
        <f>SUMIF($B$5:$B$11,"Commun Dev",$I$5:$I$11)</f>
        <v>0</v>
      </c>
    </row>
    <row r="20" spans="1:14" x14ac:dyDescent="0.3">
      <c r="G20" s="8" t="s">
        <v>161</v>
      </c>
      <c r="H20" s="9">
        <f>SUMIF($B$5:$B$11,"Parks &amp; Rec",$H$5:$H$11)</f>
        <v>0</v>
      </c>
      <c r="I20" s="9">
        <f>SUMIF($B$5:$B$11,"Parks &amp; Rec",$I$5:$I$11)</f>
        <v>0</v>
      </c>
    </row>
    <row r="21" spans="1:14" x14ac:dyDescent="0.3">
      <c r="G21" s="8" t="s">
        <v>293</v>
      </c>
      <c r="H21" s="9">
        <f>SUMIF($B$5:$B$11,"Library",$H$5:$H$11)</f>
        <v>0</v>
      </c>
      <c r="I21" s="9">
        <f>SUMIF($B$5:$B$11,"Library",$I$5:$I$11)</f>
        <v>0</v>
      </c>
    </row>
    <row r="22" spans="1:14" x14ac:dyDescent="0.3">
      <c r="G22" s="8" t="s">
        <v>377</v>
      </c>
      <c r="H22" s="9">
        <f>SUMIF($B$5:$B$11,"Neighb Life",$H$5:$H$11)</f>
        <v>0</v>
      </c>
      <c r="I22" s="9">
        <f>SUMIF($B$5:$B$11,"Neighb Life",$I$5:$I$11)</f>
        <v>0</v>
      </c>
    </row>
    <row r="23" spans="1:14" x14ac:dyDescent="0.3">
      <c r="G23" s="8" t="s">
        <v>310</v>
      </c>
      <c r="H23" s="9">
        <f>SUMIF($B$5:$B$11,"CM Office",$H$5:$H$11)</f>
        <v>0</v>
      </c>
      <c r="I23" s="9">
        <f>SUMIF($B$5:$B$11,"CM Office",$I$5:$I$11)</f>
        <v>0</v>
      </c>
    </row>
    <row r="24" spans="1:14" x14ac:dyDescent="0.3">
      <c r="G24" s="8" t="s">
        <v>305</v>
      </c>
      <c r="H24" s="9">
        <f>SUMIF($B$5:$B$11,"Public Info",$H$5:$H$11)</f>
        <v>0</v>
      </c>
      <c r="I24" s="9">
        <f>SUMIF($B$5:$B$11,"Public Info",$I$5:$I$11)</f>
        <v>0</v>
      </c>
    </row>
    <row r="25" spans="1:14" x14ac:dyDescent="0.3">
      <c r="G25" s="8" t="s">
        <v>212</v>
      </c>
      <c r="H25" s="9">
        <f>SUMIF($B$5:$B$11,"Court",$H$5:$H$11)</f>
        <v>0</v>
      </c>
      <c r="I25" s="9">
        <f>SUMIF($B$5:$B$11,"Court",$I$5:$I$11)</f>
        <v>0</v>
      </c>
    </row>
    <row r="26" spans="1:14" x14ac:dyDescent="0.3">
      <c r="G26" s="8" t="s">
        <v>379</v>
      </c>
      <c r="H26" s="9">
        <f>SUMIF($B$5:$B$11,"IT",$H$5:$H$11)</f>
        <v>0</v>
      </c>
      <c r="I26" s="9">
        <f>SUMIF($B$5:$B$11,"IT",$I$5:$I$11)</f>
        <v>0</v>
      </c>
    </row>
    <row r="27" spans="1:14" x14ac:dyDescent="0.3">
      <c r="G27" s="56" t="s">
        <v>397</v>
      </c>
      <c r="H27" s="9">
        <f>SUMIF($B$5:$B$11,"Unknown at this time",$H$5:$H$11)</f>
        <v>0</v>
      </c>
      <c r="I27" s="9">
        <f>SUMIF($B$5:$B$11,"Unknown at this time",$I$5:$I$11)</f>
        <v>0</v>
      </c>
    </row>
    <row r="28" spans="1:14" x14ac:dyDescent="0.3">
      <c r="G28" s="8" t="s">
        <v>378</v>
      </c>
      <c r="H28" s="9">
        <f>SUMIF($B$5:$B$11,"City-Wide",$H$5:$H$11)</f>
        <v>0</v>
      </c>
      <c r="I28" s="9">
        <f>SUMIF($B$5:$B$11,"City-Wide",$I$5:$I$11)</f>
        <v>0</v>
      </c>
    </row>
    <row r="29" spans="1:14" x14ac:dyDescent="0.3">
      <c r="H29" s="51">
        <f>SUM(H16:H28)</f>
        <v>0</v>
      </c>
      <c r="I29" s="51">
        <f>SUM(I16:I28)</f>
        <v>0</v>
      </c>
    </row>
    <row r="30" spans="1:14" x14ac:dyDescent="0.3">
      <c r="H30" s="20">
        <f>H13-H29</f>
        <v>0</v>
      </c>
      <c r="I30" s="20">
        <f>I13-I29</f>
        <v>0</v>
      </c>
    </row>
    <row r="31" spans="1:14" x14ac:dyDescent="0.3">
      <c r="H31" s="20"/>
      <c r="I31" s="20"/>
    </row>
    <row r="32" spans="1:14" ht="9.75" customHeight="1" x14ac:dyDescent="0.3">
      <c r="A32" s="52"/>
      <c r="B32" s="52"/>
      <c r="C32" s="53"/>
      <c r="D32" s="52"/>
      <c r="E32" s="53"/>
      <c r="F32" s="53"/>
      <c r="G32" s="54"/>
      <c r="H32" s="55"/>
      <c r="I32" s="55"/>
      <c r="J32" s="52"/>
      <c r="K32" s="53"/>
      <c r="L32" s="53"/>
      <c r="M32" s="52"/>
      <c r="N32" s="52"/>
    </row>
    <row r="33" spans="1:14" x14ac:dyDescent="0.3">
      <c r="A33" s="57" t="s">
        <v>190</v>
      </c>
    </row>
    <row r="34" spans="1:14" x14ac:dyDescent="0.3">
      <c r="A34" s="6"/>
      <c r="B34" s="6"/>
      <c r="C34" s="43"/>
      <c r="D34" s="6"/>
      <c r="E34" s="7"/>
      <c r="F34" s="7"/>
      <c r="G34" s="12"/>
      <c r="H34" s="13"/>
      <c r="I34" s="13"/>
      <c r="J34" s="12"/>
      <c r="K34" s="7"/>
      <c r="L34" s="7"/>
      <c r="M34" s="7"/>
      <c r="N34" s="45"/>
    </row>
    <row r="35" spans="1:14" x14ac:dyDescent="0.3">
      <c r="A35" s="6"/>
      <c r="B35" s="6"/>
      <c r="C35" s="43"/>
      <c r="D35" s="6"/>
      <c r="E35" s="7"/>
      <c r="F35" s="7"/>
      <c r="G35" s="12"/>
      <c r="H35" s="13"/>
      <c r="I35" s="13"/>
      <c r="J35" s="12"/>
      <c r="K35" s="7"/>
      <c r="L35" s="7"/>
      <c r="M35" s="7"/>
      <c r="N35" s="45"/>
    </row>
    <row r="36" spans="1:14" x14ac:dyDescent="0.3">
      <c r="A36" s="6"/>
      <c r="B36" s="6"/>
      <c r="C36" s="43"/>
      <c r="D36" s="6"/>
      <c r="E36" s="7"/>
      <c r="F36" s="7"/>
      <c r="G36" s="12"/>
      <c r="H36" s="13"/>
      <c r="I36" s="13"/>
      <c r="J36" s="12"/>
      <c r="K36" s="7"/>
      <c r="L36" s="7"/>
      <c r="M36" s="7"/>
      <c r="N36" s="50"/>
    </row>
    <row r="37" spans="1:14" x14ac:dyDescent="0.3">
      <c r="A37" s="6"/>
      <c r="B37" s="6"/>
      <c r="C37" s="43"/>
      <c r="D37" s="6"/>
      <c r="E37" s="7"/>
      <c r="F37" s="7"/>
      <c r="G37" s="12"/>
      <c r="H37" s="13"/>
      <c r="I37" s="13"/>
      <c r="J37" s="12"/>
      <c r="K37" s="7"/>
      <c r="L37" s="7"/>
      <c r="M37" s="7"/>
      <c r="N37" s="50"/>
    </row>
    <row r="38" spans="1:14" x14ac:dyDescent="0.3">
      <c r="A38" s="6"/>
      <c r="B38" s="6"/>
      <c r="C38" s="43"/>
      <c r="D38" s="6"/>
      <c r="E38" s="7"/>
      <c r="F38" s="7"/>
      <c r="G38" s="12"/>
      <c r="H38" s="13"/>
      <c r="I38" s="13"/>
      <c r="J38" s="12"/>
      <c r="K38" s="7"/>
      <c r="L38" s="7"/>
      <c r="M38" s="7"/>
      <c r="N38" s="50"/>
    </row>
    <row r="39" spans="1:14" x14ac:dyDescent="0.3">
      <c r="A39" s="6"/>
      <c r="B39" s="6"/>
      <c r="C39" s="43"/>
      <c r="D39" s="6"/>
      <c r="E39" s="7"/>
      <c r="F39" s="7"/>
      <c r="G39" s="12"/>
      <c r="H39" s="13"/>
      <c r="I39" s="13"/>
      <c r="J39" s="12"/>
      <c r="K39" s="7"/>
      <c r="L39" s="7"/>
      <c r="M39" s="7"/>
      <c r="N39" s="50"/>
    </row>
  </sheetData>
  <mergeCells count="2">
    <mergeCell ref="A1:D1"/>
    <mergeCell ref="A3:D3"/>
  </mergeCells>
  <pageMargins left="0.25" right="0.25" top="1" bottom="0.75" header="0.3" footer="0.3"/>
  <pageSetup scale="58" fitToHeight="0" orientation="landscape" r:id="rId1"/>
  <headerFooter>
    <oddFooter>&amp;C&amp;Z&amp;F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2575-13B1-4B06-B213-96E045EACE38}">
  <sheetPr>
    <tabColor theme="0" tint="-0.14999847407452621"/>
    <pageSetUpPr fitToPage="1"/>
  </sheetPr>
  <dimension ref="A1:R37"/>
  <sheetViews>
    <sheetView zoomScaleNormal="100" zoomScaleSheetLayoutView="100" workbookViewId="0">
      <pane xSplit="5" topLeftCell="F1" activePane="topRight" state="frozen"/>
      <selection activeCell="C18" sqref="C18:D24"/>
      <selection pane="topRight" activeCell="D38" sqref="D38"/>
    </sheetView>
  </sheetViews>
  <sheetFormatPr defaultRowHeight="14.4" x14ac:dyDescent="0.3"/>
  <cols>
    <col min="1" max="1" width="12.44140625" customWidth="1"/>
    <col min="2" max="2" width="9.88671875" style="2" bestFit="1" customWidth="1"/>
    <col min="3" max="3" width="20" bestFit="1" customWidth="1"/>
    <col min="4" max="4" width="12.33203125" bestFit="1" customWidth="1"/>
    <col min="5" max="5" width="11.5546875" customWidth="1"/>
    <col min="6" max="7" width="12.33203125" bestFit="1" customWidth="1"/>
    <col min="8" max="8" width="10" bestFit="1" customWidth="1"/>
    <col min="9" max="9" width="15.5546875" bestFit="1" customWidth="1"/>
    <col min="10" max="11" width="12.33203125" bestFit="1" customWidth="1"/>
    <col min="12" max="12" width="10" bestFit="1" customWidth="1"/>
    <col min="13" max="13" width="15.5546875" bestFit="1" customWidth="1"/>
    <col min="14" max="15" width="12.33203125" bestFit="1" customWidth="1"/>
    <col min="16" max="16" width="10" bestFit="1" customWidth="1"/>
    <col min="17" max="17" width="15.5546875" bestFit="1" customWidth="1"/>
    <col min="18" max="18" width="13.109375" bestFit="1" customWidth="1"/>
  </cols>
  <sheetData>
    <row r="1" spans="1:18" ht="21" x14ac:dyDescent="0.4">
      <c r="A1" s="73"/>
      <c r="B1" s="74"/>
      <c r="C1" s="73"/>
      <c r="D1" s="73"/>
      <c r="E1" s="75"/>
      <c r="F1" s="190" t="s">
        <v>482</v>
      </c>
      <c r="G1" s="191"/>
      <c r="H1" s="191"/>
      <c r="I1" s="192"/>
      <c r="J1" s="193" t="s">
        <v>939</v>
      </c>
      <c r="K1" s="194"/>
      <c r="L1" s="194"/>
      <c r="M1" s="195"/>
      <c r="N1" s="196" t="s">
        <v>997</v>
      </c>
      <c r="O1" s="197"/>
      <c r="P1" s="197"/>
      <c r="Q1" s="198"/>
      <c r="R1" s="76"/>
    </row>
    <row r="2" spans="1:18" ht="15.6" x14ac:dyDescent="0.3">
      <c r="A2" s="24" t="s">
        <v>483</v>
      </c>
      <c r="E2" s="77" t="s">
        <v>484</v>
      </c>
      <c r="F2" s="199" t="s">
        <v>485</v>
      </c>
      <c r="G2" s="200"/>
      <c r="H2" s="200"/>
      <c r="I2" s="78" t="s">
        <v>486</v>
      </c>
      <c r="J2" s="201" t="s">
        <v>485</v>
      </c>
      <c r="K2" s="202"/>
      <c r="L2" s="202"/>
      <c r="M2" s="79" t="s">
        <v>486</v>
      </c>
      <c r="N2" s="203" t="s">
        <v>485</v>
      </c>
      <c r="O2" s="204"/>
      <c r="P2" s="204"/>
      <c r="Q2" s="79" t="s">
        <v>486</v>
      </c>
      <c r="R2" s="42" t="s">
        <v>487</v>
      </c>
    </row>
    <row r="3" spans="1:18" x14ac:dyDescent="0.3">
      <c r="A3" s="80" t="s">
        <v>488</v>
      </c>
      <c r="B3" s="80" t="s">
        <v>489</v>
      </c>
      <c r="C3" s="81" t="s">
        <v>61</v>
      </c>
      <c r="D3" s="81" t="s">
        <v>62</v>
      </c>
      <c r="E3" s="82">
        <v>44385</v>
      </c>
      <c r="F3" s="83" t="s">
        <v>490</v>
      </c>
      <c r="G3" s="84" t="s">
        <v>491</v>
      </c>
      <c r="H3" s="84" t="s">
        <v>25</v>
      </c>
      <c r="I3" s="85" t="s">
        <v>9</v>
      </c>
      <c r="J3" s="86" t="s">
        <v>490</v>
      </c>
      <c r="K3" s="87" t="s">
        <v>491</v>
      </c>
      <c r="L3" s="87" t="s">
        <v>25</v>
      </c>
      <c r="M3" s="88" t="s">
        <v>9</v>
      </c>
      <c r="N3" s="89" t="s">
        <v>490</v>
      </c>
      <c r="O3" s="90" t="s">
        <v>491</v>
      </c>
      <c r="P3" s="90" t="s">
        <v>25</v>
      </c>
      <c r="Q3" s="91" t="s">
        <v>9</v>
      </c>
      <c r="R3" s="92" t="s">
        <v>492</v>
      </c>
    </row>
    <row r="4" spans="1:18" x14ac:dyDescent="0.3">
      <c r="A4" s="2" t="s">
        <v>1256</v>
      </c>
      <c r="B4" s="2" t="s">
        <v>1256</v>
      </c>
      <c r="C4" s="2" t="s">
        <v>1256</v>
      </c>
      <c r="D4" s="2" t="s">
        <v>1256</v>
      </c>
      <c r="E4" s="166" t="s">
        <v>1256</v>
      </c>
      <c r="F4" s="93">
        <f>[1]Badgett!$D$15</f>
        <v>0</v>
      </c>
      <c r="G4" s="94">
        <f>[1]Badgett!$D$27</f>
        <v>0</v>
      </c>
      <c r="H4" s="94">
        <f t="shared" ref="H4:H34" si="0">F4+G4</f>
        <v>0</v>
      </c>
      <c r="I4" s="95" t="e">
        <f t="shared" ref="I4:I34" si="1">ROUND($H4*$E4,2)</f>
        <v>#VALUE!</v>
      </c>
      <c r="J4" s="96">
        <f>[1]Badgett!$E$15</f>
        <v>0</v>
      </c>
      <c r="K4" s="97">
        <f>[1]Badgett!$E$27</f>
        <v>0</v>
      </c>
      <c r="L4" s="97">
        <f t="shared" ref="L4:L34" si="2">J4+K4</f>
        <v>0</v>
      </c>
      <c r="M4" s="98" t="e">
        <f t="shared" ref="M4:M34" si="3">ROUND($L4*$E4,2)</f>
        <v>#VALUE!</v>
      </c>
      <c r="N4" s="99">
        <f>[1]Badgett!$F$15</f>
        <v>0</v>
      </c>
      <c r="O4" s="100">
        <f>[1]Badgett!$F$27</f>
        <v>0</v>
      </c>
      <c r="P4" s="100">
        <f t="shared" ref="P4:P34" si="4">N4+O4</f>
        <v>0</v>
      </c>
      <c r="Q4" s="101" t="e">
        <f t="shared" ref="Q4:Q34" si="5">ROUND($P4*$E4,2)</f>
        <v>#VALUE!</v>
      </c>
      <c r="R4" s="102" t="e">
        <f t="shared" ref="R4:R34" si="6">I4+M4+Q4</f>
        <v>#VALUE!</v>
      </c>
    </row>
    <row r="5" spans="1:18" x14ac:dyDescent="0.3">
      <c r="A5" s="2" t="s">
        <v>1256</v>
      </c>
      <c r="B5" s="2" t="s">
        <v>1256</v>
      </c>
      <c r="C5" s="2" t="s">
        <v>1256</v>
      </c>
      <c r="D5" s="2" t="s">
        <v>1256</v>
      </c>
      <c r="E5" s="166" t="s">
        <v>1256</v>
      </c>
      <c r="F5" s="93">
        <f>[1]Balderas!$D$15</f>
        <v>0</v>
      </c>
      <c r="G5" s="94">
        <f>[1]Balderas!$D$27</f>
        <v>0</v>
      </c>
      <c r="H5" s="94">
        <f t="shared" si="0"/>
        <v>0</v>
      </c>
      <c r="I5" s="95" t="e">
        <f t="shared" si="1"/>
        <v>#VALUE!</v>
      </c>
      <c r="J5" s="96">
        <f>[1]Balderas!$E$15</f>
        <v>0</v>
      </c>
      <c r="K5" s="97">
        <f>[1]Balderas!$E$27</f>
        <v>0</v>
      </c>
      <c r="L5" s="97">
        <f t="shared" si="2"/>
        <v>0</v>
      </c>
      <c r="M5" s="98" t="e">
        <f t="shared" si="3"/>
        <v>#VALUE!</v>
      </c>
      <c r="N5" s="99">
        <f>[1]Balderas!$F$15</f>
        <v>0</v>
      </c>
      <c r="O5" s="100">
        <f>[1]Balderas!$F$27</f>
        <v>0</v>
      </c>
      <c r="P5" s="100">
        <f t="shared" si="4"/>
        <v>0</v>
      </c>
      <c r="Q5" s="101" t="e">
        <f t="shared" si="5"/>
        <v>#VALUE!</v>
      </c>
      <c r="R5" s="102" t="e">
        <f t="shared" si="6"/>
        <v>#VALUE!</v>
      </c>
    </row>
    <row r="6" spans="1:18" x14ac:dyDescent="0.3">
      <c r="A6" s="2" t="s">
        <v>1256</v>
      </c>
      <c r="B6" s="2" t="s">
        <v>1256</v>
      </c>
      <c r="C6" s="2" t="s">
        <v>1256</v>
      </c>
      <c r="D6" s="2" t="s">
        <v>1256</v>
      </c>
      <c r="E6" s="166" t="s">
        <v>1256</v>
      </c>
      <c r="F6" s="93">
        <f>[1]Baskett!$D$15</f>
        <v>0</v>
      </c>
      <c r="G6" s="94">
        <f>[1]Baskett!$D$27</f>
        <v>0</v>
      </c>
      <c r="H6" s="94">
        <f t="shared" si="0"/>
        <v>0</v>
      </c>
      <c r="I6" s="95" t="e">
        <f t="shared" si="1"/>
        <v>#VALUE!</v>
      </c>
      <c r="J6" s="96">
        <f>[1]Baskett!$E$15</f>
        <v>0</v>
      </c>
      <c r="K6" s="97">
        <f>[1]Baskett!$E$27</f>
        <v>0</v>
      </c>
      <c r="L6" s="97">
        <f t="shared" si="2"/>
        <v>0</v>
      </c>
      <c r="M6" s="98" t="e">
        <f t="shared" si="3"/>
        <v>#VALUE!</v>
      </c>
      <c r="N6" s="99">
        <f>[1]Baskett!$F$15</f>
        <v>0</v>
      </c>
      <c r="O6" s="100">
        <f>[1]Baskett!$F$27</f>
        <v>0</v>
      </c>
      <c r="P6" s="100">
        <f t="shared" si="4"/>
        <v>0</v>
      </c>
      <c r="Q6" s="101" t="e">
        <f t="shared" si="5"/>
        <v>#VALUE!</v>
      </c>
      <c r="R6" s="102" t="e">
        <f t="shared" si="6"/>
        <v>#VALUE!</v>
      </c>
    </row>
    <row r="7" spans="1:18" x14ac:dyDescent="0.3">
      <c r="A7" s="2" t="s">
        <v>1256</v>
      </c>
      <c r="B7" s="2" t="s">
        <v>1256</v>
      </c>
      <c r="C7" s="2" t="s">
        <v>1256</v>
      </c>
      <c r="D7" s="2" t="s">
        <v>1256</v>
      </c>
      <c r="E7" s="166" t="s">
        <v>1256</v>
      </c>
      <c r="F7" s="93">
        <f>[1]Brock!$D$15</f>
        <v>0</v>
      </c>
      <c r="G7" s="94">
        <f>[1]Brock!$D$27</f>
        <v>0</v>
      </c>
      <c r="H7" s="94">
        <f t="shared" si="0"/>
        <v>0</v>
      </c>
      <c r="I7" s="95" t="e">
        <f t="shared" si="1"/>
        <v>#VALUE!</v>
      </c>
      <c r="J7" s="96">
        <f>[1]Brock!$E$15</f>
        <v>0</v>
      </c>
      <c r="K7" s="97">
        <f>[1]Brock!$E$27</f>
        <v>0</v>
      </c>
      <c r="L7" s="97">
        <f t="shared" si="2"/>
        <v>0</v>
      </c>
      <c r="M7" s="98" t="e">
        <f t="shared" si="3"/>
        <v>#VALUE!</v>
      </c>
      <c r="N7" s="99">
        <f>[1]Brock!$F$15</f>
        <v>0</v>
      </c>
      <c r="O7" s="100">
        <f>[1]Brock!$F$27</f>
        <v>0</v>
      </c>
      <c r="P7" s="100">
        <f t="shared" si="4"/>
        <v>0</v>
      </c>
      <c r="Q7" s="101" t="e">
        <f t="shared" si="5"/>
        <v>#VALUE!</v>
      </c>
      <c r="R7" s="102" t="e">
        <f t="shared" si="6"/>
        <v>#VALUE!</v>
      </c>
    </row>
    <row r="8" spans="1:18" x14ac:dyDescent="0.3">
      <c r="A8" s="2" t="s">
        <v>1256</v>
      </c>
      <c r="B8" s="2" t="s">
        <v>1256</v>
      </c>
      <c r="C8" s="2" t="s">
        <v>1256</v>
      </c>
      <c r="D8" s="2" t="s">
        <v>1256</v>
      </c>
      <c r="E8" s="166" t="s">
        <v>1256</v>
      </c>
      <c r="F8" s="93">
        <f>[1]Buie!$D$15</f>
        <v>0</v>
      </c>
      <c r="G8" s="94">
        <f>[1]Buie!$D$27</f>
        <v>0</v>
      </c>
      <c r="H8" s="94">
        <f t="shared" si="0"/>
        <v>0</v>
      </c>
      <c r="I8" s="95" t="e">
        <f t="shared" si="1"/>
        <v>#VALUE!</v>
      </c>
      <c r="J8" s="96">
        <f>[1]Buie!$E$15</f>
        <v>0</v>
      </c>
      <c r="K8" s="97">
        <f>[1]Buie!$E$27</f>
        <v>0</v>
      </c>
      <c r="L8" s="97">
        <f t="shared" si="2"/>
        <v>0</v>
      </c>
      <c r="M8" s="98" t="e">
        <f t="shared" si="3"/>
        <v>#VALUE!</v>
      </c>
      <c r="N8" s="99">
        <f>[1]Buie!$F$15</f>
        <v>0</v>
      </c>
      <c r="O8" s="100">
        <f>[1]Buie!$F$27</f>
        <v>0</v>
      </c>
      <c r="P8" s="100">
        <f t="shared" si="4"/>
        <v>0</v>
      </c>
      <c r="Q8" s="101" t="e">
        <f t="shared" si="5"/>
        <v>#VALUE!</v>
      </c>
      <c r="R8" s="102" t="e">
        <f t="shared" si="6"/>
        <v>#VALUE!</v>
      </c>
    </row>
    <row r="9" spans="1:18" x14ac:dyDescent="0.3">
      <c r="A9" s="2" t="s">
        <v>1256</v>
      </c>
      <c r="B9" s="2" t="s">
        <v>1256</v>
      </c>
      <c r="C9" s="2" t="s">
        <v>1256</v>
      </c>
      <c r="D9" s="2" t="s">
        <v>1256</v>
      </c>
      <c r="E9" s="166" t="s">
        <v>1256</v>
      </c>
      <c r="F9" s="93">
        <f>[1]Cates!$D$15</f>
        <v>0</v>
      </c>
      <c r="G9" s="94">
        <f>[1]Cates!$D$27</f>
        <v>0</v>
      </c>
      <c r="H9" s="94">
        <f t="shared" si="0"/>
        <v>0</v>
      </c>
      <c r="I9" s="95" t="e">
        <f t="shared" si="1"/>
        <v>#VALUE!</v>
      </c>
      <c r="J9" s="96">
        <f>[1]Cates!$E$15</f>
        <v>0</v>
      </c>
      <c r="K9" s="97">
        <f>[1]Cates!$E$27</f>
        <v>0</v>
      </c>
      <c r="L9" s="97">
        <f t="shared" si="2"/>
        <v>0</v>
      </c>
      <c r="M9" s="98" t="e">
        <f t="shared" si="3"/>
        <v>#VALUE!</v>
      </c>
      <c r="N9" s="99">
        <f>[1]Cates!$F$15</f>
        <v>0</v>
      </c>
      <c r="O9" s="100">
        <f>[1]Cates!$F$27</f>
        <v>0</v>
      </c>
      <c r="P9" s="100">
        <f t="shared" si="4"/>
        <v>0</v>
      </c>
      <c r="Q9" s="101" t="e">
        <f t="shared" si="5"/>
        <v>#VALUE!</v>
      </c>
      <c r="R9" s="102" t="e">
        <f t="shared" si="6"/>
        <v>#VALUE!</v>
      </c>
    </row>
    <row r="10" spans="1:18" x14ac:dyDescent="0.3">
      <c r="A10" s="2" t="s">
        <v>1256</v>
      </c>
      <c r="B10" s="2" t="s">
        <v>1256</v>
      </c>
      <c r="C10" s="2" t="s">
        <v>1256</v>
      </c>
      <c r="D10" s="2" t="s">
        <v>1256</v>
      </c>
      <c r="E10" s="166" t="s">
        <v>1256</v>
      </c>
      <c r="F10" s="93">
        <f>[1]Ceaser!$D$15</f>
        <v>0</v>
      </c>
      <c r="G10" s="94">
        <f>[1]Ceaser!$D$27</f>
        <v>0</v>
      </c>
      <c r="H10" s="94">
        <f t="shared" si="0"/>
        <v>0</v>
      </c>
      <c r="I10" s="95" t="e">
        <f t="shared" si="1"/>
        <v>#VALUE!</v>
      </c>
      <c r="J10" s="96">
        <f>[1]Ceaser!$E$15</f>
        <v>0</v>
      </c>
      <c r="K10" s="97">
        <f>[1]Ceaser!$E$27</f>
        <v>0</v>
      </c>
      <c r="L10" s="97">
        <f t="shared" si="2"/>
        <v>0</v>
      </c>
      <c r="M10" s="98" t="e">
        <f t="shared" si="3"/>
        <v>#VALUE!</v>
      </c>
      <c r="N10" s="99">
        <f>[1]Ceaser!$F$15</f>
        <v>0</v>
      </c>
      <c r="O10" s="100">
        <f>[1]Ceaser!$F$27</f>
        <v>0</v>
      </c>
      <c r="P10" s="100">
        <f t="shared" si="4"/>
        <v>0</v>
      </c>
      <c r="Q10" s="101" t="e">
        <f t="shared" si="5"/>
        <v>#VALUE!</v>
      </c>
      <c r="R10" s="102" t="e">
        <f t="shared" si="6"/>
        <v>#VALUE!</v>
      </c>
    </row>
    <row r="11" spans="1:18" x14ac:dyDescent="0.3">
      <c r="A11" s="2" t="s">
        <v>1256</v>
      </c>
      <c r="B11" s="2" t="s">
        <v>1256</v>
      </c>
      <c r="C11" s="2" t="s">
        <v>1256</v>
      </c>
      <c r="D11" s="2" t="s">
        <v>1256</v>
      </c>
      <c r="E11" s="166" t="s">
        <v>1256</v>
      </c>
      <c r="F11" s="93">
        <f>[1]Cleaver!$D$15</f>
        <v>0</v>
      </c>
      <c r="G11" s="94">
        <f>[1]Cleaver!$D$27</f>
        <v>0</v>
      </c>
      <c r="H11" s="94">
        <f t="shared" si="0"/>
        <v>0</v>
      </c>
      <c r="I11" s="95" t="e">
        <f t="shared" si="1"/>
        <v>#VALUE!</v>
      </c>
      <c r="J11" s="96">
        <f>[1]Cleaver!$E$15</f>
        <v>0</v>
      </c>
      <c r="K11" s="97">
        <f>[1]Cleaver!$E$27</f>
        <v>0</v>
      </c>
      <c r="L11" s="97">
        <f t="shared" si="2"/>
        <v>0</v>
      </c>
      <c r="M11" s="98" t="e">
        <f t="shared" si="3"/>
        <v>#VALUE!</v>
      </c>
      <c r="N11" s="99">
        <f>[1]Cleaver!$F$15</f>
        <v>0</v>
      </c>
      <c r="O11" s="100">
        <f>[1]Cleaver!$F$27</f>
        <v>0</v>
      </c>
      <c r="P11" s="100">
        <f t="shared" si="4"/>
        <v>0</v>
      </c>
      <c r="Q11" s="101" t="e">
        <f t="shared" si="5"/>
        <v>#VALUE!</v>
      </c>
      <c r="R11" s="102" t="e">
        <f t="shared" si="6"/>
        <v>#VALUE!</v>
      </c>
    </row>
    <row r="12" spans="1:18" x14ac:dyDescent="0.3">
      <c r="A12" s="2" t="s">
        <v>1256</v>
      </c>
      <c r="B12" s="2" t="s">
        <v>1256</v>
      </c>
      <c r="C12" s="2" t="s">
        <v>1256</v>
      </c>
      <c r="D12" s="2" t="s">
        <v>1256</v>
      </c>
      <c r="E12" s="166" t="s">
        <v>1256</v>
      </c>
      <c r="F12" s="93">
        <f>[1]Elledge!$D$15</f>
        <v>0</v>
      </c>
      <c r="G12" s="94">
        <f>[1]Elledge!$D$27</f>
        <v>0</v>
      </c>
      <c r="H12" s="94">
        <f t="shared" si="0"/>
        <v>0</v>
      </c>
      <c r="I12" s="95" t="e">
        <f t="shared" si="1"/>
        <v>#VALUE!</v>
      </c>
      <c r="J12" s="96">
        <f>[1]Elledge!$E$15</f>
        <v>0</v>
      </c>
      <c r="K12" s="97">
        <f>[1]Elledge!$E$27</f>
        <v>0</v>
      </c>
      <c r="L12" s="97">
        <f t="shared" si="2"/>
        <v>0</v>
      </c>
      <c r="M12" s="98" t="e">
        <f t="shared" si="3"/>
        <v>#VALUE!</v>
      </c>
      <c r="N12" s="99">
        <f>[1]Elledge!$F$15</f>
        <v>0</v>
      </c>
      <c r="O12" s="100">
        <f>[1]Elledge!$F$27</f>
        <v>0</v>
      </c>
      <c r="P12" s="100">
        <f t="shared" si="4"/>
        <v>0</v>
      </c>
      <c r="Q12" s="101" t="e">
        <f t="shared" si="5"/>
        <v>#VALUE!</v>
      </c>
      <c r="R12" s="102" t="e">
        <f t="shared" si="6"/>
        <v>#VALUE!</v>
      </c>
    </row>
    <row r="13" spans="1:18" x14ac:dyDescent="0.3">
      <c r="A13" s="2" t="s">
        <v>1256</v>
      </c>
      <c r="B13" s="2" t="s">
        <v>1256</v>
      </c>
      <c r="C13" s="2" t="s">
        <v>1256</v>
      </c>
      <c r="D13" s="2" t="s">
        <v>1256</v>
      </c>
      <c r="E13" s="166" t="s">
        <v>1256</v>
      </c>
      <c r="F13" s="93">
        <f>[1]Enna!$D$15</f>
        <v>0</v>
      </c>
      <c r="G13" s="94">
        <f>[1]Enna!$D$27</f>
        <v>0</v>
      </c>
      <c r="H13" s="94">
        <f t="shared" si="0"/>
        <v>0</v>
      </c>
      <c r="I13" s="95" t="e">
        <f t="shared" si="1"/>
        <v>#VALUE!</v>
      </c>
      <c r="J13" s="96">
        <f>[1]Enna!$E$15</f>
        <v>0</v>
      </c>
      <c r="K13" s="97">
        <f>[1]Enna!$E$27</f>
        <v>0</v>
      </c>
      <c r="L13" s="97">
        <f t="shared" si="2"/>
        <v>0</v>
      </c>
      <c r="M13" s="98" t="e">
        <f t="shared" si="3"/>
        <v>#VALUE!</v>
      </c>
      <c r="N13" s="99">
        <f>[1]Enna!$F$15</f>
        <v>0</v>
      </c>
      <c r="O13" s="100">
        <f>[1]Enna!$F$27</f>
        <v>0</v>
      </c>
      <c r="P13" s="100">
        <f t="shared" si="4"/>
        <v>0</v>
      </c>
      <c r="Q13" s="101" t="e">
        <f t="shared" si="5"/>
        <v>#VALUE!</v>
      </c>
      <c r="R13" s="102" t="e">
        <f t="shared" si="6"/>
        <v>#VALUE!</v>
      </c>
    </row>
    <row r="14" spans="1:18" x14ac:dyDescent="0.3">
      <c r="A14" s="2" t="s">
        <v>1256</v>
      </c>
      <c r="B14" s="2" t="s">
        <v>1256</v>
      </c>
      <c r="C14" s="2" t="s">
        <v>1256</v>
      </c>
      <c r="D14" s="2" t="s">
        <v>1256</v>
      </c>
      <c r="E14" s="166" t="s">
        <v>1256</v>
      </c>
      <c r="F14" s="93">
        <f>[1]Furguson!$D$15</f>
        <v>0</v>
      </c>
      <c r="G14" s="94">
        <f>[1]Furguson!$D$27</f>
        <v>0</v>
      </c>
      <c r="H14" s="94">
        <f t="shared" si="0"/>
        <v>0</v>
      </c>
      <c r="I14" s="95" t="e">
        <f t="shared" si="1"/>
        <v>#VALUE!</v>
      </c>
      <c r="J14" s="96">
        <f>[1]Furguson!$E$15</f>
        <v>0</v>
      </c>
      <c r="K14" s="97">
        <f>[1]Furguson!$E$27</f>
        <v>0</v>
      </c>
      <c r="L14" s="97">
        <f t="shared" si="2"/>
        <v>0</v>
      </c>
      <c r="M14" s="98" t="e">
        <f t="shared" si="3"/>
        <v>#VALUE!</v>
      </c>
      <c r="N14" s="99">
        <f>[1]Furguson!$F$15</f>
        <v>0</v>
      </c>
      <c r="O14" s="100">
        <f>[1]Furguson!$F$27</f>
        <v>0</v>
      </c>
      <c r="P14" s="100">
        <f t="shared" si="4"/>
        <v>0</v>
      </c>
      <c r="Q14" s="101" t="e">
        <f t="shared" si="5"/>
        <v>#VALUE!</v>
      </c>
      <c r="R14" s="102" t="e">
        <f t="shared" si="6"/>
        <v>#VALUE!</v>
      </c>
    </row>
    <row r="15" spans="1:18" x14ac:dyDescent="0.3">
      <c r="A15" s="2" t="s">
        <v>1256</v>
      </c>
      <c r="B15" s="2" t="s">
        <v>1256</v>
      </c>
      <c r="C15" s="2" t="s">
        <v>1256</v>
      </c>
      <c r="D15" s="2" t="s">
        <v>1256</v>
      </c>
      <c r="E15" s="166" t="s">
        <v>1256</v>
      </c>
      <c r="F15" s="93">
        <f>[1]Gauthier!$D$15</f>
        <v>0</v>
      </c>
      <c r="G15" s="94">
        <f>[1]Gauthier!$D$27</f>
        <v>0</v>
      </c>
      <c r="H15" s="94">
        <f t="shared" si="0"/>
        <v>0</v>
      </c>
      <c r="I15" s="95" t="e">
        <f t="shared" si="1"/>
        <v>#VALUE!</v>
      </c>
      <c r="J15" s="96">
        <f>[1]Gauthier!$E$15</f>
        <v>0</v>
      </c>
      <c r="K15" s="97">
        <f>[1]Gauthier!$E$27</f>
        <v>0</v>
      </c>
      <c r="L15" s="97">
        <f t="shared" si="2"/>
        <v>0</v>
      </c>
      <c r="M15" s="98" t="e">
        <f t="shared" si="3"/>
        <v>#VALUE!</v>
      </c>
      <c r="N15" s="99">
        <f>[1]Gauthier!$F$15</f>
        <v>0</v>
      </c>
      <c r="O15" s="100">
        <f>[1]Gauthier!$F$27</f>
        <v>0</v>
      </c>
      <c r="P15" s="100">
        <f t="shared" si="4"/>
        <v>0</v>
      </c>
      <c r="Q15" s="101" t="e">
        <f t="shared" si="5"/>
        <v>#VALUE!</v>
      </c>
      <c r="R15" s="102" t="e">
        <f t="shared" si="6"/>
        <v>#VALUE!</v>
      </c>
    </row>
    <row r="16" spans="1:18" x14ac:dyDescent="0.3">
      <c r="A16" s="2" t="s">
        <v>1256</v>
      </c>
      <c r="B16" s="2" t="s">
        <v>1256</v>
      </c>
      <c r="C16" s="2" t="s">
        <v>1256</v>
      </c>
      <c r="D16" s="2" t="s">
        <v>1256</v>
      </c>
      <c r="E16" s="166" t="s">
        <v>1256</v>
      </c>
      <c r="F16" s="93">
        <f>[1]Godfrey!$D$15</f>
        <v>0</v>
      </c>
      <c r="G16" s="94">
        <f>[1]Godfrey!$D$27</f>
        <v>0</v>
      </c>
      <c r="H16" s="94">
        <f t="shared" si="0"/>
        <v>0</v>
      </c>
      <c r="I16" s="95" t="e">
        <f t="shared" si="1"/>
        <v>#VALUE!</v>
      </c>
      <c r="J16" s="96">
        <f>[1]Godfrey!$E$15</f>
        <v>0</v>
      </c>
      <c r="K16" s="97">
        <f>[1]Godfrey!$E$27</f>
        <v>0</v>
      </c>
      <c r="L16" s="97">
        <f t="shared" si="2"/>
        <v>0</v>
      </c>
      <c r="M16" s="98" t="e">
        <f t="shared" si="3"/>
        <v>#VALUE!</v>
      </c>
      <c r="N16" s="99">
        <f>[1]Godfrey!$F$15</f>
        <v>0</v>
      </c>
      <c r="O16" s="100">
        <f>[1]Godfrey!$F$27</f>
        <v>0</v>
      </c>
      <c r="P16" s="100">
        <f t="shared" si="4"/>
        <v>0</v>
      </c>
      <c r="Q16" s="101" t="e">
        <f t="shared" si="5"/>
        <v>#VALUE!</v>
      </c>
      <c r="R16" s="102" t="e">
        <f t="shared" si="6"/>
        <v>#VALUE!</v>
      </c>
    </row>
    <row r="17" spans="1:18" x14ac:dyDescent="0.3">
      <c r="A17" s="2" t="s">
        <v>1256</v>
      </c>
      <c r="B17" s="2" t="s">
        <v>1256</v>
      </c>
      <c r="C17" s="2" t="s">
        <v>1256</v>
      </c>
      <c r="D17" s="2" t="s">
        <v>1256</v>
      </c>
      <c r="E17" s="166" t="s">
        <v>1256</v>
      </c>
      <c r="F17" s="93">
        <f>[1]Howard!$D$15</f>
        <v>0</v>
      </c>
      <c r="G17" s="94">
        <f>[1]Howard!$D$27</f>
        <v>0</v>
      </c>
      <c r="H17" s="94">
        <f t="shared" si="0"/>
        <v>0</v>
      </c>
      <c r="I17" s="95" t="e">
        <f t="shared" si="1"/>
        <v>#VALUE!</v>
      </c>
      <c r="J17" s="96">
        <f>[1]Howard!$E$15</f>
        <v>0</v>
      </c>
      <c r="K17" s="97">
        <f>[1]Howard!$E$27</f>
        <v>0</v>
      </c>
      <c r="L17" s="97">
        <f t="shared" si="2"/>
        <v>0</v>
      </c>
      <c r="M17" s="98" t="e">
        <f t="shared" si="3"/>
        <v>#VALUE!</v>
      </c>
      <c r="N17" s="99">
        <f>[1]Howard!$F$15</f>
        <v>0</v>
      </c>
      <c r="O17" s="100">
        <f>[1]Howard!$F$27</f>
        <v>0</v>
      </c>
      <c r="P17" s="100">
        <f t="shared" si="4"/>
        <v>0</v>
      </c>
      <c r="Q17" s="101" t="e">
        <f t="shared" si="5"/>
        <v>#VALUE!</v>
      </c>
      <c r="R17" s="102" t="e">
        <f t="shared" si="6"/>
        <v>#VALUE!</v>
      </c>
    </row>
    <row r="18" spans="1:18" x14ac:dyDescent="0.3">
      <c r="A18" s="2" t="s">
        <v>1256</v>
      </c>
      <c r="B18" s="2" t="s">
        <v>1256</v>
      </c>
      <c r="C18" s="2" t="s">
        <v>1256</v>
      </c>
      <c r="D18" s="2" t="s">
        <v>1256</v>
      </c>
      <c r="E18" s="166" t="s">
        <v>1256</v>
      </c>
      <c r="F18" s="93">
        <f>[1]Jackson!$D$15</f>
        <v>0</v>
      </c>
      <c r="G18" s="94">
        <f>[1]Jackson!$D$27</f>
        <v>0</v>
      </c>
      <c r="H18" s="94">
        <f t="shared" si="0"/>
        <v>0</v>
      </c>
      <c r="I18" s="95" t="e">
        <f t="shared" si="1"/>
        <v>#VALUE!</v>
      </c>
      <c r="J18" s="96">
        <f>[1]Jackson!$E$15</f>
        <v>0</v>
      </c>
      <c r="K18" s="97">
        <f>[1]Jackson!$E$27</f>
        <v>0</v>
      </c>
      <c r="L18" s="97">
        <f t="shared" si="2"/>
        <v>0</v>
      </c>
      <c r="M18" s="98" t="e">
        <f t="shared" si="3"/>
        <v>#VALUE!</v>
      </c>
      <c r="N18" s="99">
        <f>[1]Jackson!$F$15</f>
        <v>0</v>
      </c>
      <c r="O18" s="100">
        <f>[1]Jackson!$F$27</f>
        <v>0</v>
      </c>
      <c r="P18" s="100">
        <f t="shared" si="4"/>
        <v>0</v>
      </c>
      <c r="Q18" s="101" t="e">
        <f t="shared" si="5"/>
        <v>#VALUE!</v>
      </c>
      <c r="R18" s="102" t="e">
        <f t="shared" si="6"/>
        <v>#VALUE!</v>
      </c>
    </row>
    <row r="19" spans="1:18" x14ac:dyDescent="0.3">
      <c r="A19" s="2" t="s">
        <v>1256</v>
      </c>
      <c r="B19" s="2" t="s">
        <v>1256</v>
      </c>
      <c r="C19" s="2" t="s">
        <v>1256</v>
      </c>
      <c r="D19" s="2" t="s">
        <v>1256</v>
      </c>
      <c r="E19" s="166" t="s">
        <v>1256</v>
      </c>
      <c r="F19" s="93">
        <f>[1]Jones!$D$15</f>
        <v>0</v>
      </c>
      <c r="G19" s="94">
        <f>[1]Jones!$D$27</f>
        <v>0.75</v>
      </c>
      <c r="H19" s="94">
        <f t="shared" si="0"/>
        <v>0.75</v>
      </c>
      <c r="I19" s="95" t="e">
        <f t="shared" si="1"/>
        <v>#VALUE!</v>
      </c>
      <c r="J19" s="96">
        <f>[1]Jones!$E$15</f>
        <v>0</v>
      </c>
      <c r="K19" s="97">
        <f>[1]Jones!$E$27</f>
        <v>0</v>
      </c>
      <c r="L19" s="97">
        <f t="shared" si="2"/>
        <v>0</v>
      </c>
      <c r="M19" s="98" t="e">
        <f t="shared" si="3"/>
        <v>#VALUE!</v>
      </c>
      <c r="N19" s="99">
        <f>[1]Jones!$F$15</f>
        <v>0</v>
      </c>
      <c r="O19" s="100">
        <f>[1]Jones!$F$27</f>
        <v>0</v>
      </c>
      <c r="P19" s="100">
        <f t="shared" si="4"/>
        <v>0</v>
      </c>
      <c r="Q19" s="101" t="e">
        <f t="shared" si="5"/>
        <v>#VALUE!</v>
      </c>
      <c r="R19" s="102" t="e">
        <f t="shared" si="6"/>
        <v>#VALUE!</v>
      </c>
    </row>
    <row r="20" spans="1:18" x14ac:dyDescent="0.3">
      <c r="A20" s="2" t="s">
        <v>1256</v>
      </c>
      <c r="B20" s="2" t="s">
        <v>1256</v>
      </c>
      <c r="C20" s="2" t="s">
        <v>1256</v>
      </c>
      <c r="D20" s="2" t="s">
        <v>1256</v>
      </c>
      <c r="E20" s="166" t="s">
        <v>1256</v>
      </c>
      <c r="F20" s="93">
        <f>[1]Leal!$D$15</f>
        <v>0</v>
      </c>
      <c r="G20" s="94">
        <f>[1]Leal!$D$27</f>
        <v>0</v>
      </c>
      <c r="H20" s="94">
        <f t="shared" si="0"/>
        <v>0</v>
      </c>
      <c r="I20" s="95" t="e">
        <f>ROUND($H20*$E20,2)</f>
        <v>#VALUE!</v>
      </c>
      <c r="J20" s="96">
        <f>[1]Leal!$E$15</f>
        <v>0</v>
      </c>
      <c r="K20" s="97">
        <f>[1]Leal!$E$27</f>
        <v>0</v>
      </c>
      <c r="L20" s="97">
        <f t="shared" si="2"/>
        <v>0</v>
      </c>
      <c r="M20" s="98" t="e">
        <f t="shared" si="3"/>
        <v>#VALUE!</v>
      </c>
      <c r="N20" s="99">
        <f>[1]Leal!$F$15</f>
        <v>0</v>
      </c>
      <c r="O20" s="100">
        <f>[1]Leal!$F$27</f>
        <v>0</v>
      </c>
      <c r="P20" s="100">
        <f t="shared" si="4"/>
        <v>0</v>
      </c>
      <c r="Q20" s="101" t="e">
        <f t="shared" si="5"/>
        <v>#VALUE!</v>
      </c>
      <c r="R20" s="102" t="e">
        <f t="shared" si="6"/>
        <v>#VALUE!</v>
      </c>
    </row>
    <row r="21" spans="1:18" x14ac:dyDescent="0.3">
      <c r="A21" s="2" t="s">
        <v>1256</v>
      </c>
      <c r="B21" s="2" t="s">
        <v>1256</v>
      </c>
      <c r="C21" s="2" t="s">
        <v>1256</v>
      </c>
      <c r="D21" s="2" t="s">
        <v>1256</v>
      </c>
      <c r="E21" s="166" t="s">
        <v>1256</v>
      </c>
      <c r="F21" s="93">
        <f>[1]Lopez!$D$15</f>
        <v>0</v>
      </c>
      <c r="G21" s="94">
        <f>[1]Lopez!$D$27</f>
        <v>0</v>
      </c>
      <c r="H21" s="94">
        <f t="shared" si="0"/>
        <v>0</v>
      </c>
      <c r="I21" s="95" t="e">
        <f t="shared" si="1"/>
        <v>#VALUE!</v>
      </c>
      <c r="J21" s="96">
        <f>[1]Lopez!$E$15</f>
        <v>0</v>
      </c>
      <c r="K21" s="97">
        <f>[1]Lopez!$E$27</f>
        <v>0</v>
      </c>
      <c r="L21" s="97">
        <f t="shared" si="2"/>
        <v>0</v>
      </c>
      <c r="M21" s="98" t="e">
        <f t="shared" si="3"/>
        <v>#VALUE!</v>
      </c>
      <c r="N21" s="99">
        <f>[1]Lopez!$F$15</f>
        <v>0</v>
      </c>
      <c r="O21" s="100">
        <f>[1]Lopez!$F$27</f>
        <v>0</v>
      </c>
      <c r="P21" s="100">
        <f t="shared" si="4"/>
        <v>0</v>
      </c>
      <c r="Q21" s="101" t="e">
        <f t="shared" si="5"/>
        <v>#VALUE!</v>
      </c>
      <c r="R21" s="102" t="e">
        <f t="shared" si="6"/>
        <v>#VALUE!</v>
      </c>
    </row>
    <row r="22" spans="1:18" x14ac:dyDescent="0.3">
      <c r="A22" s="2" t="s">
        <v>1256</v>
      </c>
      <c r="B22" s="2" t="s">
        <v>1256</v>
      </c>
      <c r="C22" s="2" t="s">
        <v>1256</v>
      </c>
      <c r="D22" s="2" t="s">
        <v>1256</v>
      </c>
      <c r="E22" s="166" t="s">
        <v>1256</v>
      </c>
      <c r="F22" s="93">
        <f>[1]Mauladad!$D$15</f>
        <v>1</v>
      </c>
      <c r="G22" s="94">
        <f>[1]Mauladad!$D$27</f>
        <v>0.5</v>
      </c>
      <c r="H22" s="94">
        <f t="shared" si="0"/>
        <v>1.5</v>
      </c>
      <c r="I22" s="95" t="e">
        <f t="shared" si="1"/>
        <v>#VALUE!</v>
      </c>
      <c r="J22" s="96">
        <f>[1]Mauladad!$E$15</f>
        <v>0</v>
      </c>
      <c r="K22" s="97">
        <f>[1]Mauladad!$E$27</f>
        <v>0</v>
      </c>
      <c r="L22" s="97">
        <f t="shared" si="2"/>
        <v>0</v>
      </c>
      <c r="M22" s="98" t="e">
        <f t="shared" si="3"/>
        <v>#VALUE!</v>
      </c>
      <c r="N22" s="99">
        <f>[1]Mauladad!$F$15</f>
        <v>0</v>
      </c>
      <c r="O22" s="100">
        <f>[1]Mauladad!$F$27</f>
        <v>0</v>
      </c>
      <c r="P22" s="100">
        <f t="shared" si="4"/>
        <v>0</v>
      </c>
      <c r="Q22" s="101" t="e">
        <f t="shared" si="5"/>
        <v>#VALUE!</v>
      </c>
      <c r="R22" s="102" t="e">
        <f t="shared" si="6"/>
        <v>#VALUE!</v>
      </c>
    </row>
    <row r="23" spans="1:18" x14ac:dyDescent="0.3">
      <c r="A23" s="2" t="s">
        <v>1256</v>
      </c>
      <c r="B23" s="2" t="s">
        <v>1256</v>
      </c>
      <c r="C23" s="2" t="s">
        <v>1256</v>
      </c>
      <c r="D23" s="2" t="s">
        <v>1256</v>
      </c>
      <c r="E23" s="166" t="s">
        <v>1256</v>
      </c>
      <c r="F23" s="93">
        <f>[1]Miller!$D$15</f>
        <v>0</v>
      </c>
      <c r="G23" s="94">
        <f>[1]Miller!$D$27</f>
        <v>0</v>
      </c>
      <c r="H23" s="94">
        <f t="shared" si="0"/>
        <v>0</v>
      </c>
      <c r="I23" s="95" t="e">
        <f t="shared" si="1"/>
        <v>#VALUE!</v>
      </c>
      <c r="J23" s="96">
        <f>[1]Miller!$E$15</f>
        <v>0</v>
      </c>
      <c r="K23" s="97">
        <f>[1]Miller!$E$27</f>
        <v>0</v>
      </c>
      <c r="L23" s="97">
        <f t="shared" si="2"/>
        <v>0</v>
      </c>
      <c r="M23" s="98" t="e">
        <f t="shared" si="3"/>
        <v>#VALUE!</v>
      </c>
      <c r="N23" s="99">
        <f>[1]Miller!$F$15</f>
        <v>0</v>
      </c>
      <c r="O23" s="100">
        <f>[1]Miller!$F$27</f>
        <v>0</v>
      </c>
      <c r="P23" s="100">
        <f t="shared" si="4"/>
        <v>0</v>
      </c>
      <c r="Q23" s="101" t="e">
        <f t="shared" si="5"/>
        <v>#VALUE!</v>
      </c>
      <c r="R23" s="102" t="e">
        <f t="shared" si="6"/>
        <v>#VALUE!</v>
      </c>
    </row>
    <row r="24" spans="1:18" x14ac:dyDescent="0.3">
      <c r="A24" s="2" t="s">
        <v>1256</v>
      </c>
      <c r="B24" s="2" t="s">
        <v>1256</v>
      </c>
      <c r="C24" s="2" t="s">
        <v>1256</v>
      </c>
      <c r="D24" s="2" t="s">
        <v>1256</v>
      </c>
      <c r="E24" s="166" t="s">
        <v>1256</v>
      </c>
      <c r="F24" s="93">
        <f>[1]Moore!$D$15</f>
        <v>0</v>
      </c>
      <c r="G24" s="94">
        <f>[1]Moore!$D$27</f>
        <v>0</v>
      </c>
      <c r="H24" s="94">
        <f t="shared" si="0"/>
        <v>0</v>
      </c>
      <c r="I24" s="95" t="e">
        <f>ROUND($H24*$E24,2)</f>
        <v>#VALUE!</v>
      </c>
      <c r="J24" s="96">
        <f>[1]Moore!$E$15</f>
        <v>0</v>
      </c>
      <c r="K24" s="97">
        <f>[1]Moore!$E$27</f>
        <v>0</v>
      </c>
      <c r="L24" s="97">
        <f t="shared" si="2"/>
        <v>0</v>
      </c>
      <c r="M24" s="98" t="e">
        <f t="shared" si="3"/>
        <v>#VALUE!</v>
      </c>
      <c r="N24" s="99">
        <f>[1]Moore!$F$15</f>
        <v>0</v>
      </c>
      <c r="O24" s="100">
        <f>[1]Moore!$F$27</f>
        <v>0</v>
      </c>
      <c r="P24" s="100">
        <f t="shared" si="4"/>
        <v>0</v>
      </c>
      <c r="Q24" s="101" t="e">
        <f t="shared" si="5"/>
        <v>#VALUE!</v>
      </c>
      <c r="R24" s="102" t="e">
        <f t="shared" si="6"/>
        <v>#VALUE!</v>
      </c>
    </row>
    <row r="25" spans="1:18" x14ac:dyDescent="0.3">
      <c r="A25" s="2" t="s">
        <v>1256</v>
      </c>
      <c r="B25" s="2" t="s">
        <v>1256</v>
      </c>
      <c r="C25" s="2" t="s">
        <v>1256</v>
      </c>
      <c r="D25" s="2" t="s">
        <v>1256</v>
      </c>
      <c r="E25" s="166" t="s">
        <v>1256</v>
      </c>
      <c r="F25" s="93">
        <f>[1]Myers!$D$15</f>
        <v>0.5</v>
      </c>
      <c r="G25" s="94">
        <f>[1]Myers!$D$27</f>
        <v>0.5</v>
      </c>
      <c r="H25" s="94">
        <f t="shared" si="0"/>
        <v>1</v>
      </c>
      <c r="I25" s="95" t="e">
        <f>ROUND($H25*$E25,2)</f>
        <v>#VALUE!</v>
      </c>
      <c r="J25" s="96">
        <f>[1]Myers!$E$15</f>
        <v>0</v>
      </c>
      <c r="K25" s="97">
        <f>[1]Myers!$E$27</f>
        <v>0</v>
      </c>
      <c r="L25" s="97">
        <f t="shared" si="2"/>
        <v>0</v>
      </c>
      <c r="M25" s="98" t="e">
        <f t="shared" si="3"/>
        <v>#VALUE!</v>
      </c>
      <c r="N25" s="99">
        <f>[1]Myers!$F$15</f>
        <v>0</v>
      </c>
      <c r="O25" s="100">
        <f>[1]Myers!$F$27</f>
        <v>0</v>
      </c>
      <c r="P25" s="100">
        <f t="shared" si="4"/>
        <v>0</v>
      </c>
      <c r="Q25" s="101" t="e">
        <f t="shared" si="5"/>
        <v>#VALUE!</v>
      </c>
      <c r="R25" s="102" t="e">
        <f t="shared" si="6"/>
        <v>#VALUE!</v>
      </c>
    </row>
    <row r="26" spans="1:18" x14ac:dyDescent="0.3">
      <c r="A26" s="2" t="s">
        <v>1256</v>
      </c>
      <c r="B26" s="2" t="s">
        <v>1256</v>
      </c>
      <c r="C26" s="2" t="s">
        <v>1256</v>
      </c>
      <c r="D26" s="2" t="s">
        <v>1256</v>
      </c>
      <c r="E26" s="166" t="s">
        <v>1256</v>
      </c>
      <c r="F26" s="93">
        <f>[1]Noles!$D$15</f>
        <v>0</v>
      </c>
      <c r="G26" s="94">
        <f>[1]Noles!$D$27</f>
        <v>0</v>
      </c>
      <c r="H26" s="94">
        <f t="shared" si="0"/>
        <v>0</v>
      </c>
      <c r="I26" s="95" t="e">
        <f t="shared" si="1"/>
        <v>#VALUE!</v>
      </c>
      <c r="J26" s="96">
        <f>[1]Noles!$E$15</f>
        <v>0</v>
      </c>
      <c r="K26" s="97">
        <f>[1]Noles!$E$27</f>
        <v>0</v>
      </c>
      <c r="L26" s="97">
        <f t="shared" si="2"/>
        <v>0</v>
      </c>
      <c r="M26" s="98" t="e">
        <f t="shared" si="3"/>
        <v>#VALUE!</v>
      </c>
      <c r="N26" s="99">
        <f>[1]Noles!$F$15</f>
        <v>0</v>
      </c>
      <c r="O26" s="100">
        <f>[1]Noles!$F$27</f>
        <v>0</v>
      </c>
      <c r="P26" s="100">
        <f t="shared" si="4"/>
        <v>0</v>
      </c>
      <c r="Q26" s="101" t="e">
        <f t="shared" si="5"/>
        <v>#VALUE!</v>
      </c>
      <c r="R26" s="102" t="e">
        <f t="shared" si="6"/>
        <v>#VALUE!</v>
      </c>
    </row>
    <row r="27" spans="1:18" x14ac:dyDescent="0.3">
      <c r="A27" s="2" t="s">
        <v>1256</v>
      </c>
      <c r="B27" s="2" t="s">
        <v>1256</v>
      </c>
      <c r="C27" s="2" t="s">
        <v>1256</v>
      </c>
      <c r="D27" s="2" t="s">
        <v>1256</v>
      </c>
      <c r="E27" s="166" t="s">
        <v>1256</v>
      </c>
      <c r="F27" s="93">
        <f>[1]Pacheco!$D$15</f>
        <v>0</v>
      </c>
      <c r="G27" s="94">
        <f>[1]Pacheco!$D$27</f>
        <v>0</v>
      </c>
      <c r="H27" s="94">
        <f t="shared" si="0"/>
        <v>0</v>
      </c>
      <c r="I27" s="95" t="e">
        <f>ROUND($H27*$E27,2)</f>
        <v>#VALUE!</v>
      </c>
      <c r="J27" s="96">
        <f>[1]Pacheco!$E$15</f>
        <v>0</v>
      </c>
      <c r="K27" s="97">
        <f>[1]Pacheco!$E$27</f>
        <v>0</v>
      </c>
      <c r="L27" s="97">
        <f t="shared" si="2"/>
        <v>0</v>
      </c>
      <c r="M27" s="98" t="e">
        <f t="shared" si="3"/>
        <v>#VALUE!</v>
      </c>
      <c r="N27" s="99">
        <f>[1]Pacheco!$F$15</f>
        <v>0</v>
      </c>
      <c r="O27" s="100">
        <f>[1]Pacheco!$F$27</f>
        <v>0</v>
      </c>
      <c r="P27" s="100">
        <f t="shared" si="4"/>
        <v>0</v>
      </c>
      <c r="Q27" s="101" t="e">
        <f t="shared" si="5"/>
        <v>#VALUE!</v>
      </c>
      <c r="R27" s="102" t="e">
        <f t="shared" si="6"/>
        <v>#VALUE!</v>
      </c>
    </row>
    <row r="28" spans="1:18" x14ac:dyDescent="0.3">
      <c r="A28" s="2" t="s">
        <v>1256</v>
      </c>
      <c r="B28" s="2" t="s">
        <v>1256</v>
      </c>
      <c r="C28" s="2" t="s">
        <v>1256</v>
      </c>
      <c r="D28" s="2" t="s">
        <v>1256</v>
      </c>
      <c r="E28" s="166" t="s">
        <v>1256</v>
      </c>
      <c r="F28" s="93">
        <f>[1]SmithA!$D$15</f>
        <v>0</v>
      </c>
      <c r="G28" s="94">
        <f>[1]SmithA!$D$27</f>
        <v>0</v>
      </c>
      <c r="H28" s="94">
        <f t="shared" si="0"/>
        <v>0</v>
      </c>
      <c r="I28" s="95" t="e">
        <f t="shared" si="1"/>
        <v>#VALUE!</v>
      </c>
      <c r="J28" s="96">
        <f>[1]SmithA!$E$15</f>
        <v>0</v>
      </c>
      <c r="K28" s="97">
        <f>[1]SmithA!$E$27</f>
        <v>0</v>
      </c>
      <c r="L28" s="97">
        <f t="shared" si="2"/>
        <v>0</v>
      </c>
      <c r="M28" s="98" t="e">
        <f t="shared" si="3"/>
        <v>#VALUE!</v>
      </c>
      <c r="N28" s="99">
        <f>[1]SmithA!$F$15</f>
        <v>0</v>
      </c>
      <c r="O28" s="100">
        <f>[1]SmithA!$F$27</f>
        <v>0</v>
      </c>
      <c r="P28" s="100">
        <f t="shared" si="4"/>
        <v>0</v>
      </c>
      <c r="Q28" s="101" t="e">
        <f t="shared" si="5"/>
        <v>#VALUE!</v>
      </c>
      <c r="R28" s="102" t="e">
        <f t="shared" si="6"/>
        <v>#VALUE!</v>
      </c>
    </row>
    <row r="29" spans="1:18" x14ac:dyDescent="0.3">
      <c r="A29" s="2" t="s">
        <v>1256</v>
      </c>
      <c r="B29" s="2" t="s">
        <v>1256</v>
      </c>
      <c r="C29" s="2" t="s">
        <v>1256</v>
      </c>
      <c r="D29" s="2" t="s">
        <v>1256</v>
      </c>
      <c r="E29" s="166" t="s">
        <v>1256</v>
      </c>
      <c r="F29" s="93">
        <f>[1]SmithD!$D$15</f>
        <v>0</v>
      </c>
      <c r="G29" s="94">
        <f>[1]SmithD!$D$27</f>
        <v>0</v>
      </c>
      <c r="H29" s="94">
        <f t="shared" si="0"/>
        <v>0</v>
      </c>
      <c r="I29" s="95" t="e">
        <f t="shared" si="1"/>
        <v>#VALUE!</v>
      </c>
      <c r="J29" s="96">
        <f>[1]SmithD!$E$15</f>
        <v>0</v>
      </c>
      <c r="K29" s="97">
        <f>[1]SmithD!$E$27</f>
        <v>0</v>
      </c>
      <c r="L29" s="97">
        <f t="shared" si="2"/>
        <v>0</v>
      </c>
      <c r="M29" s="98" t="e">
        <f t="shared" si="3"/>
        <v>#VALUE!</v>
      </c>
      <c r="N29" s="99">
        <f>[1]SmithD!$F$15</f>
        <v>0</v>
      </c>
      <c r="O29" s="100">
        <f>[1]SmithD!$F$27</f>
        <v>0</v>
      </c>
      <c r="P29" s="100">
        <f t="shared" si="4"/>
        <v>0</v>
      </c>
      <c r="Q29" s="101" t="e">
        <f t="shared" si="5"/>
        <v>#VALUE!</v>
      </c>
      <c r="R29" s="102" t="e">
        <f t="shared" si="6"/>
        <v>#VALUE!</v>
      </c>
    </row>
    <row r="30" spans="1:18" x14ac:dyDescent="0.3">
      <c r="A30" s="2" t="s">
        <v>1256</v>
      </c>
      <c r="B30" s="2" t="s">
        <v>1256</v>
      </c>
      <c r="C30" s="2" t="s">
        <v>1256</v>
      </c>
      <c r="D30" s="2" t="s">
        <v>1256</v>
      </c>
      <c r="E30" s="166" t="s">
        <v>1256</v>
      </c>
      <c r="F30" s="93">
        <f>[1]Strange!$D$15</f>
        <v>0</v>
      </c>
      <c r="G30" s="94">
        <f>[1]Strange!$D$27</f>
        <v>0</v>
      </c>
      <c r="H30" s="94">
        <f t="shared" si="0"/>
        <v>0</v>
      </c>
      <c r="I30" s="95" t="e">
        <f t="shared" si="1"/>
        <v>#VALUE!</v>
      </c>
      <c r="J30" s="96">
        <f>[1]Strange!$E$15</f>
        <v>0</v>
      </c>
      <c r="K30" s="97">
        <f>[1]Strange!$E$27</f>
        <v>0</v>
      </c>
      <c r="L30" s="97">
        <f t="shared" si="2"/>
        <v>0</v>
      </c>
      <c r="M30" s="98" t="e">
        <f t="shared" si="3"/>
        <v>#VALUE!</v>
      </c>
      <c r="N30" s="99">
        <f>[1]Strange!$F$15</f>
        <v>0</v>
      </c>
      <c r="O30" s="100">
        <f>[1]Strange!$F$27</f>
        <v>0</v>
      </c>
      <c r="P30" s="100">
        <f t="shared" si="4"/>
        <v>0</v>
      </c>
      <c r="Q30" s="101" t="e">
        <f t="shared" si="5"/>
        <v>#VALUE!</v>
      </c>
      <c r="R30" s="102" t="e">
        <f t="shared" si="6"/>
        <v>#VALUE!</v>
      </c>
    </row>
    <row r="31" spans="1:18" x14ac:dyDescent="0.3">
      <c r="A31" s="2" t="s">
        <v>1256</v>
      </c>
      <c r="B31" s="2" t="s">
        <v>1256</v>
      </c>
      <c r="C31" s="2" t="s">
        <v>1256</v>
      </c>
      <c r="D31" s="2" t="s">
        <v>1256</v>
      </c>
      <c r="E31" s="166" t="s">
        <v>1256</v>
      </c>
      <c r="F31" s="93">
        <f>[1]Townsend!$D$15</f>
        <v>0</v>
      </c>
      <c r="G31" s="94">
        <f>[1]Townsend!$D$27</f>
        <v>0</v>
      </c>
      <c r="H31" s="94">
        <f t="shared" si="0"/>
        <v>0</v>
      </c>
      <c r="I31" s="95" t="e">
        <f t="shared" si="1"/>
        <v>#VALUE!</v>
      </c>
      <c r="J31" s="96">
        <f>[1]Townsend!$E$15</f>
        <v>0</v>
      </c>
      <c r="K31" s="97">
        <f>[1]Townsend!$E$27</f>
        <v>0</v>
      </c>
      <c r="L31" s="97">
        <f t="shared" si="2"/>
        <v>0</v>
      </c>
      <c r="M31" s="98" t="e">
        <f t="shared" si="3"/>
        <v>#VALUE!</v>
      </c>
      <c r="N31" s="99">
        <f>[1]Townsend!$F$15</f>
        <v>0</v>
      </c>
      <c r="O31" s="100">
        <f>[1]Townsend!$F$27</f>
        <v>0</v>
      </c>
      <c r="P31" s="100">
        <f t="shared" si="4"/>
        <v>0</v>
      </c>
      <c r="Q31" s="101" t="e">
        <f t="shared" si="5"/>
        <v>#VALUE!</v>
      </c>
      <c r="R31" s="102" t="e">
        <f t="shared" si="6"/>
        <v>#VALUE!</v>
      </c>
    </row>
    <row r="32" spans="1:18" x14ac:dyDescent="0.3">
      <c r="A32" s="2" t="s">
        <v>1256</v>
      </c>
      <c r="B32" s="2" t="s">
        <v>1256</v>
      </c>
      <c r="C32" s="2" t="s">
        <v>1256</v>
      </c>
      <c r="D32" s="2" t="s">
        <v>1256</v>
      </c>
      <c r="E32" s="166" t="s">
        <v>1256</v>
      </c>
      <c r="F32" s="93">
        <f>[1]Tucker!$D$15</f>
        <v>3.5</v>
      </c>
      <c r="G32" s="94">
        <f>[1]Tucker!$D$27</f>
        <v>0.5</v>
      </c>
      <c r="H32" s="94">
        <f t="shared" si="0"/>
        <v>4</v>
      </c>
      <c r="I32" s="95" t="e">
        <f t="shared" si="1"/>
        <v>#VALUE!</v>
      </c>
      <c r="J32" s="96">
        <f>[1]Tucker!$E$15</f>
        <v>0</v>
      </c>
      <c r="K32" s="97">
        <f>[1]Tucker!$E$27</f>
        <v>0</v>
      </c>
      <c r="L32" s="97">
        <f t="shared" si="2"/>
        <v>0</v>
      </c>
      <c r="M32" s="98" t="e">
        <f t="shared" si="3"/>
        <v>#VALUE!</v>
      </c>
      <c r="N32" s="99">
        <f>[1]Tucker!$F$15</f>
        <v>0</v>
      </c>
      <c r="O32" s="100">
        <f>[1]Tucker!$F$27</f>
        <v>0</v>
      </c>
      <c r="P32" s="100">
        <f t="shared" si="4"/>
        <v>0</v>
      </c>
      <c r="Q32" s="101" t="e">
        <f t="shared" si="5"/>
        <v>#VALUE!</v>
      </c>
      <c r="R32" s="102" t="e">
        <f t="shared" si="6"/>
        <v>#VALUE!</v>
      </c>
    </row>
    <row r="33" spans="1:18" x14ac:dyDescent="0.3">
      <c r="A33" s="2" t="s">
        <v>1256</v>
      </c>
      <c r="B33" s="2" t="s">
        <v>1256</v>
      </c>
      <c r="C33" s="2" t="s">
        <v>1256</v>
      </c>
      <c r="D33" s="2" t="s">
        <v>1256</v>
      </c>
      <c r="E33" s="166" t="s">
        <v>1256</v>
      </c>
      <c r="F33" s="93">
        <f>[1]Ward!$D$15</f>
        <v>0</v>
      </c>
      <c r="G33" s="94">
        <f>[1]Ward!$D$27</f>
        <v>0</v>
      </c>
      <c r="H33" s="94">
        <f t="shared" si="0"/>
        <v>0</v>
      </c>
      <c r="I33" s="95" t="e">
        <f t="shared" si="1"/>
        <v>#VALUE!</v>
      </c>
      <c r="J33" s="96">
        <f>[1]Ward!$E$15</f>
        <v>0</v>
      </c>
      <c r="K33" s="97">
        <f>[1]Ward!$E$27</f>
        <v>0</v>
      </c>
      <c r="L33" s="97">
        <f t="shared" si="2"/>
        <v>0</v>
      </c>
      <c r="M33" s="98" t="e">
        <f t="shared" si="3"/>
        <v>#VALUE!</v>
      </c>
      <c r="N33" s="99">
        <f>[1]Ward!$F$15</f>
        <v>0</v>
      </c>
      <c r="O33" s="100">
        <f>[1]Ward!$F$27</f>
        <v>0</v>
      </c>
      <c r="P33" s="100">
        <f t="shared" si="4"/>
        <v>0</v>
      </c>
      <c r="Q33" s="101" t="e">
        <f t="shared" si="5"/>
        <v>#VALUE!</v>
      </c>
      <c r="R33" s="102" t="e">
        <f t="shared" si="6"/>
        <v>#VALUE!</v>
      </c>
    </row>
    <row r="34" spans="1:18" x14ac:dyDescent="0.3">
      <c r="A34" s="2" t="s">
        <v>1256</v>
      </c>
      <c r="B34" s="2" t="s">
        <v>1256</v>
      </c>
      <c r="C34" s="2" t="s">
        <v>1256</v>
      </c>
      <c r="D34" s="2" t="s">
        <v>1256</v>
      </c>
      <c r="E34" s="166" t="s">
        <v>1256</v>
      </c>
      <c r="F34" s="103">
        <f>[1]Whitehead!$D$15</f>
        <v>0</v>
      </c>
      <c r="G34" s="104">
        <f>[1]Whitehead!$D$27</f>
        <v>0</v>
      </c>
      <c r="H34" s="104">
        <f t="shared" si="0"/>
        <v>0</v>
      </c>
      <c r="I34" s="105" t="e">
        <f t="shared" si="1"/>
        <v>#VALUE!</v>
      </c>
      <c r="J34" s="106">
        <f>[1]Whitehead!$E$15</f>
        <v>0</v>
      </c>
      <c r="K34" s="107">
        <f>[1]Whitehead!$E$27</f>
        <v>0</v>
      </c>
      <c r="L34" s="107">
        <f t="shared" si="2"/>
        <v>0</v>
      </c>
      <c r="M34" s="108" t="e">
        <f t="shared" si="3"/>
        <v>#VALUE!</v>
      </c>
      <c r="N34" s="109">
        <f>[1]Whitehead!$F$15</f>
        <v>0</v>
      </c>
      <c r="O34" s="110">
        <f>[1]Whitehead!$F$27</f>
        <v>0</v>
      </c>
      <c r="P34" s="110">
        <f t="shared" si="4"/>
        <v>0</v>
      </c>
      <c r="Q34" s="111" t="e">
        <f t="shared" si="5"/>
        <v>#VALUE!</v>
      </c>
      <c r="R34" s="102" t="e">
        <f t="shared" si="6"/>
        <v>#VALUE!</v>
      </c>
    </row>
    <row r="35" spans="1:18" ht="0.9" customHeight="1" x14ac:dyDescent="0.3">
      <c r="A35" s="2"/>
      <c r="E35" s="166">
        <v>0</v>
      </c>
      <c r="F35" s="94"/>
      <c r="G35" s="94"/>
      <c r="H35" s="94"/>
      <c r="I35" s="112"/>
      <c r="J35" s="97"/>
      <c r="K35" s="97"/>
      <c r="L35" s="97"/>
      <c r="M35" s="113"/>
      <c r="N35" s="100"/>
      <c r="O35" s="100"/>
      <c r="P35" s="100"/>
      <c r="Q35" s="114"/>
      <c r="R35" s="102"/>
    </row>
    <row r="36" spans="1:18" x14ac:dyDescent="0.3">
      <c r="A36" s="74"/>
      <c r="B36" s="74"/>
      <c r="C36" s="73"/>
      <c r="D36" s="73"/>
      <c r="E36" s="73"/>
      <c r="F36" s="115"/>
      <c r="G36" s="115"/>
      <c r="H36" s="115"/>
      <c r="I36" s="116" t="e">
        <f>SUBTOTAL(9,I4:I34)</f>
        <v>#VALUE!</v>
      </c>
      <c r="J36" s="117"/>
      <c r="K36" s="117"/>
      <c r="L36" s="117"/>
      <c r="M36" s="118" t="e">
        <f>SUBTOTAL(9,M4:M34)</f>
        <v>#VALUE!</v>
      </c>
      <c r="N36" s="119"/>
      <c r="O36" s="119"/>
      <c r="P36" s="119"/>
      <c r="Q36" s="120" t="e">
        <f>SUBTOTAL(9,Q4:Q34)</f>
        <v>#VALUE!</v>
      </c>
      <c r="R36" s="121" t="e">
        <f>SUBTOTAL(9,R4:R34)</f>
        <v>#VALUE!</v>
      </c>
    </row>
    <row r="37" spans="1:18" x14ac:dyDescent="0.3">
      <c r="A37" s="2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22"/>
    </row>
  </sheetData>
  <autoFilter ref="A3:A34" xr:uid="{B757D12E-FCDA-420A-B1F3-1D8F76A13CF4}"/>
  <mergeCells count="6">
    <mergeCell ref="F1:I1"/>
    <mergeCell ref="J1:M1"/>
    <mergeCell ref="N1:Q1"/>
    <mergeCell ref="F2:H2"/>
    <mergeCell ref="J2:L2"/>
    <mergeCell ref="N2:P2"/>
  </mergeCells>
  <pageMargins left="0.25" right="0.25" top="0.75" bottom="0.75" header="0.3" footer="0.3"/>
  <pageSetup scale="58" fitToHeight="0" orientation="landscape" r:id="rId1"/>
  <headerFooter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69E4-AC5E-4425-BBCC-00712D12C3F4}">
  <sheetPr>
    <tabColor theme="0" tint="-0.14999847407452621"/>
    <pageSetUpPr fitToPage="1"/>
  </sheetPr>
  <dimension ref="A1:I30"/>
  <sheetViews>
    <sheetView workbookViewId="0">
      <selection activeCell="L35" sqref="L35"/>
    </sheetView>
  </sheetViews>
  <sheetFormatPr defaultRowHeight="14.4" x14ac:dyDescent="0.3"/>
  <cols>
    <col min="1" max="1" width="3.5546875" customWidth="1"/>
    <col min="2" max="2" width="9.6640625" bestFit="1" customWidth="1"/>
    <col min="3" max="3" width="20" bestFit="1" customWidth="1"/>
    <col min="4" max="4" width="12.44140625" bestFit="1" customWidth="1"/>
    <col min="5" max="5" width="11.5546875" customWidth="1"/>
    <col min="6" max="6" width="17" customWidth="1"/>
    <col min="7" max="7" width="16" customWidth="1"/>
    <col min="8" max="8" width="12.6640625" customWidth="1"/>
    <col min="9" max="9" width="13.33203125" bestFit="1" customWidth="1"/>
  </cols>
  <sheetData>
    <row r="1" spans="1:9" ht="43.2" x14ac:dyDescent="0.3">
      <c r="B1" s="22" t="s">
        <v>60</v>
      </c>
      <c r="C1" s="22" t="s">
        <v>61</v>
      </c>
      <c r="D1" s="22" t="s">
        <v>62</v>
      </c>
      <c r="E1" s="23" t="s">
        <v>63</v>
      </c>
      <c r="F1" s="24" t="s">
        <v>64</v>
      </c>
      <c r="G1" s="24" t="s">
        <v>65</v>
      </c>
      <c r="H1" s="25" t="s">
        <v>66</v>
      </c>
      <c r="I1" s="26" t="s">
        <v>67</v>
      </c>
    </row>
    <row r="2" spans="1:9" x14ac:dyDescent="0.3">
      <c r="A2" t="s">
        <v>68</v>
      </c>
      <c r="B2" t="s">
        <v>69</v>
      </c>
      <c r="C2" t="s">
        <v>70</v>
      </c>
      <c r="D2" t="s">
        <v>71</v>
      </c>
      <c r="E2" s="27">
        <f>[2]Amador!G17</f>
        <v>0</v>
      </c>
      <c r="F2" s="28">
        <f>[2]Amador!G36</f>
        <v>0</v>
      </c>
      <c r="G2" s="28">
        <f t="shared" ref="G2:G28" si="0">E2+F2</f>
        <v>0</v>
      </c>
      <c r="H2">
        <v>40</v>
      </c>
      <c r="I2" s="9">
        <f t="shared" ref="I2:I28" si="1">ROUND(G2*H2,2)</f>
        <v>0</v>
      </c>
    </row>
    <row r="3" spans="1:9" x14ac:dyDescent="0.3">
      <c r="A3" t="s">
        <v>68</v>
      </c>
      <c r="B3" t="s">
        <v>72</v>
      </c>
      <c r="C3" t="s">
        <v>73</v>
      </c>
      <c r="D3" t="s">
        <v>74</v>
      </c>
      <c r="E3" s="27">
        <f>[2]Badgett!G17</f>
        <v>0</v>
      </c>
      <c r="F3" s="28">
        <f>[2]Badgett!G36</f>
        <v>5</v>
      </c>
      <c r="G3" s="28">
        <f t="shared" si="0"/>
        <v>5</v>
      </c>
      <c r="H3">
        <v>40</v>
      </c>
      <c r="I3" s="9">
        <f t="shared" si="1"/>
        <v>200</v>
      </c>
    </row>
    <row r="4" spans="1:9" x14ac:dyDescent="0.3">
      <c r="A4" t="s">
        <v>68</v>
      </c>
      <c r="B4" t="s">
        <v>75</v>
      </c>
      <c r="C4" t="s">
        <v>76</v>
      </c>
      <c r="D4" t="s">
        <v>77</v>
      </c>
      <c r="E4" s="27">
        <f>[2]Balderas!G17</f>
        <v>0</v>
      </c>
      <c r="F4" s="28">
        <f>[2]Balderas!G36</f>
        <v>52</v>
      </c>
      <c r="G4" s="28">
        <f t="shared" si="0"/>
        <v>52</v>
      </c>
      <c r="H4">
        <v>40</v>
      </c>
      <c r="I4" s="9">
        <f t="shared" si="1"/>
        <v>2080</v>
      </c>
    </row>
    <row r="5" spans="1:9" x14ac:dyDescent="0.3">
      <c r="A5" t="s">
        <v>68</v>
      </c>
      <c r="B5" t="s">
        <v>78</v>
      </c>
      <c r="C5" t="s">
        <v>79</v>
      </c>
      <c r="D5" t="s">
        <v>80</v>
      </c>
      <c r="E5" s="27">
        <f>[2]Baskett!G17</f>
        <v>0</v>
      </c>
      <c r="F5" s="28">
        <f>[2]Baskett!G36</f>
        <v>0</v>
      </c>
      <c r="G5" s="28">
        <f t="shared" si="0"/>
        <v>0</v>
      </c>
      <c r="H5">
        <v>40</v>
      </c>
      <c r="I5" s="9">
        <f t="shared" si="1"/>
        <v>0</v>
      </c>
    </row>
    <row r="6" spans="1:9" x14ac:dyDescent="0.3">
      <c r="A6" t="s">
        <v>68</v>
      </c>
      <c r="B6" t="s">
        <v>81</v>
      </c>
      <c r="C6" t="s">
        <v>82</v>
      </c>
      <c r="D6" t="s">
        <v>83</v>
      </c>
      <c r="E6" s="27">
        <f>[2]Brock!G17</f>
        <v>0</v>
      </c>
      <c r="F6" s="28">
        <f>[2]Brock!G36</f>
        <v>8.5</v>
      </c>
      <c r="G6" s="28">
        <f t="shared" si="0"/>
        <v>8.5</v>
      </c>
      <c r="H6">
        <v>40</v>
      </c>
      <c r="I6" s="9">
        <f t="shared" si="1"/>
        <v>340</v>
      </c>
    </row>
    <row r="7" spans="1:9" x14ac:dyDescent="0.3">
      <c r="A7" t="s">
        <v>68</v>
      </c>
      <c r="B7" t="s">
        <v>84</v>
      </c>
      <c r="C7" t="s">
        <v>85</v>
      </c>
      <c r="D7" t="s">
        <v>86</v>
      </c>
      <c r="E7" s="27">
        <f>[2]Buie!G17</f>
        <v>0</v>
      </c>
      <c r="F7" s="28">
        <f>[2]Buie!G36</f>
        <v>0</v>
      </c>
      <c r="G7" s="28">
        <f t="shared" si="0"/>
        <v>0</v>
      </c>
      <c r="H7">
        <v>40</v>
      </c>
      <c r="I7" s="9">
        <f t="shared" si="1"/>
        <v>0</v>
      </c>
    </row>
    <row r="8" spans="1:9" x14ac:dyDescent="0.3">
      <c r="A8" t="s">
        <v>68</v>
      </c>
      <c r="B8" t="s">
        <v>87</v>
      </c>
      <c r="C8" t="s">
        <v>88</v>
      </c>
      <c r="D8" t="s">
        <v>89</v>
      </c>
      <c r="E8" s="27">
        <f>[2]Ceaser!G17</f>
        <v>0</v>
      </c>
      <c r="F8" s="28">
        <f>[2]Ceaser!G36</f>
        <v>0</v>
      </c>
      <c r="G8" s="28">
        <f t="shared" si="0"/>
        <v>0</v>
      </c>
      <c r="H8">
        <v>40</v>
      </c>
      <c r="I8" s="9">
        <f t="shared" si="1"/>
        <v>0</v>
      </c>
    </row>
    <row r="9" spans="1:9" x14ac:dyDescent="0.3">
      <c r="A9" t="s">
        <v>68</v>
      </c>
      <c r="B9" t="s">
        <v>90</v>
      </c>
      <c r="C9" t="s">
        <v>91</v>
      </c>
      <c r="D9" t="s">
        <v>92</v>
      </c>
      <c r="E9" s="27">
        <f>[2]Elledge!G17</f>
        <v>0</v>
      </c>
      <c r="F9" s="28">
        <f>[2]Elledge!G36</f>
        <v>0</v>
      </c>
      <c r="G9" s="28">
        <f t="shared" si="0"/>
        <v>0</v>
      </c>
      <c r="H9">
        <v>40</v>
      </c>
      <c r="I9" s="9">
        <f t="shared" si="1"/>
        <v>0</v>
      </c>
    </row>
    <row r="10" spans="1:9" x14ac:dyDescent="0.3">
      <c r="A10" t="s">
        <v>68</v>
      </c>
      <c r="B10" t="s">
        <v>93</v>
      </c>
      <c r="C10" t="s">
        <v>94</v>
      </c>
      <c r="D10" t="s">
        <v>95</v>
      </c>
      <c r="E10" s="27">
        <f>[2]Enna!G17</f>
        <v>0</v>
      </c>
      <c r="F10" s="28">
        <f>[2]Enna!G36</f>
        <v>4</v>
      </c>
      <c r="G10" s="28">
        <f t="shared" si="0"/>
        <v>4</v>
      </c>
      <c r="H10">
        <v>40</v>
      </c>
      <c r="I10" s="9">
        <f t="shared" si="1"/>
        <v>160</v>
      </c>
    </row>
    <row r="11" spans="1:9" x14ac:dyDescent="0.3">
      <c r="A11" t="s">
        <v>68</v>
      </c>
      <c r="B11" t="s">
        <v>96</v>
      </c>
      <c r="C11" t="s">
        <v>97</v>
      </c>
      <c r="D11" t="s">
        <v>98</v>
      </c>
      <c r="E11" s="27">
        <f>[2]Gauthier!G17</f>
        <v>0</v>
      </c>
      <c r="F11" s="28">
        <f>[2]Gauthier!G36</f>
        <v>0</v>
      </c>
      <c r="G11" s="28">
        <f t="shared" si="0"/>
        <v>0</v>
      </c>
      <c r="H11">
        <v>40</v>
      </c>
      <c r="I11" s="9">
        <f t="shared" si="1"/>
        <v>0</v>
      </c>
    </row>
    <row r="12" spans="1:9" x14ac:dyDescent="0.3">
      <c r="A12" t="s">
        <v>68</v>
      </c>
      <c r="B12" t="s">
        <v>99</v>
      </c>
      <c r="C12" t="s">
        <v>100</v>
      </c>
      <c r="D12" t="s">
        <v>101</v>
      </c>
      <c r="E12" s="27">
        <f>[2]Godfrey!G17</f>
        <v>0</v>
      </c>
      <c r="F12" s="28">
        <f>[2]Godfrey!G36</f>
        <v>9.5</v>
      </c>
      <c r="G12" s="28">
        <f t="shared" si="0"/>
        <v>9.5</v>
      </c>
      <c r="H12">
        <v>40</v>
      </c>
      <c r="I12" s="9">
        <f t="shared" si="1"/>
        <v>380</v>
      </c>
    </row>
    <row r="13" spans="1:9" x14ac:dyDescent="0.3">
      <c r="A13" t="s">
        <v>68</v>
      </c>
      <c r="B13" t="s">
        <v>102</v>
      </c>
      <c r="C13" t="s">
        <v>103</v>
      </c>
      <c r="D13" t="s">
        <v>104</v>
      </c>
      <c r="E13" s="27">
        <f>[2]Howard!G17</f>
        <v>0</v>
      </c>
      <c r="F13" s="28">
        <f>[2]Howard!G36</f>
        <v>22.25</v>
      </c>
      <c r="G13" s="28">
        <f t="shared" si="0"/>
        <v>22.25</v>
      </c>
      <c r="H13">
        <v>40</v>
      </c>
      <c r="I13" s="9">
        <f t="shared" si="1"/>
        <v>890</v>
      </c>
    </row>
    <row r="14" spans="1:9" x14ac:dyDescent="0.3">
      <c r="A14" t="s">
        <v>68</v>
      </c>
      <c r="B14" t="s">
        <v>105</v>
      </c>
      <c r="C14" t="s">
        <v>106</v>
      </c>
      <c r="D14" t="s">
        <v>107</v>
      </c>
      <c r="E14" s="27">
        <f>[2]Jackson!G17</f>
        <v>0</v>
      </c>
      <c r="F14" s="28">
        <f>[2]Jackson!G36</f>
        <v>0</v>
      </c>
      <c r="G14" s="28">
        <f t="shared" si="0"/>
        <v>0</v>
      </c>
      <c r="H14">
        <v>40</v>
      </c>
      <c r="I14" s="9">
        <f t="shared" si="1"/>
        <v>0</v>
      </c>
    </row>
    <row r="15" spans="1:9" x14ac:dyDescent="0.3">
      <c r="A15" t="s">
        <v>68</v>
      </c>
      <c r="B15" t="s">
        <v>108</v>
      </c>
      <c r="C15" t="s">
        <v>109</v>
      </c>
      <c r="D15" t="s">
        <v>110</v>
      </c>
      <c r="E15" s="27">
        <f>[2]Jones!G17</f>
        <v>0</v>
      </c>
      <c r="F15" s="28">
        <f>[2]Jones!G36</f>
        <v>0</v>
      </c>
      <c r="G15" s="28">
        <f t="shared" si="0"/>
        <v>0</v>
      </c>
      <c r="H15">
        <v>40</v>
      </c>
      <c r="I15" s="9">
        <f t="shared" si="1"/>
        <v>0</v>
      </c>
    </row>
    <row r="16" spans="1:9" x14ac:dyDescent="0.3">
      <c r="A16" t="s">
        <v>68</v>
      </c>
      <c r="B16" t="s">
        <v>111</v>
      </c>
      <c r="C16" t="s">
        <v>112</v>
      </c>
      <c r="D16" t="s">
        <v>113</v>
      </c>
      <c r="E16" s="27">
        <f>[2]Lopez!G17</f>
        <v>0</v>
      </c>
      <c r="F16" s="28">
        <f>[2]Lopez!G36</f>
        <v>3.75</v>
      </c>
      <c r="G16" s="28">
        <f t="shared" si="0"/>
        <v>3.75</v>
      </c>
      <c r="H16">
        <v>40</v>
      </c>
      <c r="I16" s="9">
        <f t="shared" si="1"/>
        <v>150</v>
      </c>
    </row>
    <row r="17" spans="1:9" x14ac:dyDescent="0.3">
      <c r="A17" t="s">
        <v>68</v>
      </c>
      <c r="B17" t="s">
        <v>114</v>
      </c>
      <c r="C17" t="s">
        <v>115</v>
      </c>
      <c r="D17" t="s">
        <v>116</v>
      </c>
      <c r="E17" s="27">
        <f>[2]Mauladad!G17</f>
        <v>0</v>
      </c>
      <c r="F17" s="28">
        <f>[2]Mauladad!G36</f>
        <v>1</v>
      </c>
      <c r="G17" s="28">
        <f t="shared" si="0"/>
        <v>1</v>
      </c>
      <c r="H17">
        <v>40</v>
      </c>
      <c r="I17" s="9">
        <f t="shared" si="1"/>
        <v>40</v>
      </c>
    </row>
    <row r="18" spans="1:9" x14ac:dyDescent="0.3">
      <c r="A18" t="s">
        <v>68</v>
      </c>
      <c r="B18" t="s">
        <v>117</v>
      </c>
      <c r="C18" t="s">
        <v>118</v>
      </c>
      <c r="D18" t="s">
        <v>119</v>
      </c>
      <c r="E18" s="27">
        <f>[2]McAvoy!G17</f>
        <v>0</v>
      </c>
      <c r="F18" s="28">
        <f>[2]McAvoy!G36</f>
        <v>0</v>
      </c>
      <c r="G18" s="28">
        <f t="shared" si="0"/>
        <v>0</v>
      </c>
      <c r="H18">
        <v>40</v>
      </c>
      <c r="I18" s="9">
        <f t="shared" si="1"/>
        <v>0</v>
      </c>
    </row>
    <row r="19" spans="1:9" x14ac:dyDescent="0.3">
      <c r="A19" t="s">
        <v>68</v>
      </c>
      <c r="B19" t="s">
        <v>120</v>
      </c>
      <c r="C19" t="s">
        <v>121</v>
      </c>
      <c r="D19" t="s">
        <v>122</v>
      </c>
      <c r="E19" s="27">
        <f>[2]Miller!G17</f>
        <v>0</v>
      </c>
      <c r="F19" s="28">
        <f>[2]Miller!G36</f>
        <v>0</v>
      </c>
      <c r="G19" s="28">
        <f t="shared" si="0"/>
        <v>0</v>
      </c>
      <c r="H19">
        <v>40</v>
      </c>
      <c r="I19" s="9">
        <f t="shared" si="1"/>
        <v>0</v>
      </c>
    </row>
    <row r="20" spans="1:9" x14ac:dyDescent="0.3">
      <c r="A20" t="s">
        <v>68</v>
      </c>
      <c r="B20" t="s">
        <v>123</v>
      </c>
      <c r="C20" t="s">
        <v>124</v>
      </c>
      <c r="D20" t="s">
        <v>125</v>
      </c>
      <c r="E20" s="27">
        <f>[2]Noles!G17</f>
        <v>0</v>
      </c>
      <c r="F20" s="28">
        <f>[2]Noles!G36</f>
        <v>0</v>
      </c>
      <c r="G20" s="28">
        <f t="shared" si="0"/>
        <v>0</v>
      </c>
      <c r="H20">
        <v>40</v>
      </c>
      <c r="I20" s="9">
        <f t="shared" si="1"/>
        <v>0</v>
      </c>
    </row>
    <row r="21" spans="1:9" x14ac:dyDescent="0.3">
      <c r="A21" t="s">
        <v>68</v>
      </c>
      <c r="B21" t="s">
        <v>126</v>
      </c>
      <c r="C21" t="s">
        <v>127</v>
      </c>
      <c r="D21" t="s">
        <v>128</v>
      </c>
      <c r="E21" s="27">
        <f>'[2]Smith D.'!G17</f>
        <v>0</v>
      </c>
      <c r="F21" s="28">
        <f>'[2]Smith D.'!G36</f>
        <v>0</v>
      </c>
      <c r="G21" s="28">
        <f t="shared" si="0"/>
        <v>0</v>
      </c>
      <c r="H21">
        <v>40</v>
      </c>
      <c r="I21" s="9">
        <f t="shared" si="1"/>
        <v>0</v>
      </c>
    </row>
    <row r="22" spans="1:9" x14ac:dyDescent="0.3">
      <c r="A22" t="s">
        <v>68</v>
      </c>
      <c r="B22" t="s">
        <v>129</v>
      </c>
      <c r="C22" t="s">
        <v>130</v>
      </c>
      <c r="D22" t="s">
        <v>131</v>
      </c>
      <c r="E22" s="27">
        <f>[2]Stevens!G17</f>
        <v>0</v>
      </c>
      <c r="F22" s="28">
        <f>[2]Stevens!G36</f>
        <v>5.5</v>
      </c>
      <c r="G22" s="28">
        <f t="shared" si="0"/>
        <v>5.5</v>
      </c>
      <c r="H22">
        <v>40</v>
      </c>
      <c r="I22" s="9">
        <f t="shared" si="1"/>
        <v>220</v>
      </c>
    </row>
    <row r="23" spans="1:9" x14ac:dyDescent="0.3">
      <c r="A23" t="s">
        <v>68</v>
      </c>
      <c r="B23" t="s">
        <v>132</v>
      </c>
      <c r="C23" t="s">
        <v>133</v>
      </c>
      <c r="D23" t="s">
        <v>134</v>
      </c>
      <c r="E23" s="27">
        <f>[2]Strange!G17</f>
        <v>0</v>
      </c>
      <c r="F23" s="28">
        <f>[2]Strange!G36</f>
        <v>0</v>
      </c>
      <c r="G23" s="28">
        <f t="shared" si="0"/>
        <v>0</v>
      </c>
      <c r="H23">
        <v>40</v>
      </c>
      <c r="I23" s="9">
        <f t="shared" si="1"/>
        <v>0</v>
      </c>
    </row>
    <row r="24" spans="1:9" x14ac:dyDescent="0.3">
      <c r="A24" t="s">
        <v>68</v>
      </c>
      <c r="B24" t="s">
        <v>135</v>
      </c>
      <c r="C24" t="s">
        <v>136</v>
      </c>
      <c r="D24" t="s">
        <v>137</v>
      </c>
      <c r="E24" s="27">
        <f>[2]Bowers!G17</f>
        <v>0</v>
      </c>
      <c r="F24" s="28">
        <f>[2]Bowers!G36</f>
        <v>14.5</v>
      </c>
      <c r="G24" s="28">
        <f t="shared" si="0"/>
        <v>14.5</v>
      </c>
      <c r="H24">
        <v>40</v>
      </c>
      <c r="I24" s="9">
        <f t="shared" si="1"/>
        <v>580</v>
      </c>
    </row>
    <row r="25" spans="1:9" x14ac:dyDescent="0.3">
      <c r="A25" t="s">
        <v>68</v>
      </c>
      <c r="B25" t="s">
        <v>138</v>
      </c>
      <c r="C25" t="s">
        <v>139</v>
      </c>
      <c r="D25" t="s">
        <v>140</v>
      </c>
      <c r="E25" s="27">
        <f>[2]Townsend!G17</f>
        <v>0</v>
      </c>
      <c r="F25" s="28">
        <f>[2]Townsend!G36</f>
        <v>14</v>
      </c>
      <c r="G25" s="28">
        <f t="shared" si="0"/>
        <v>14</v>
      </c>
      <c r="H25">
        <v>40</v>
      </c>
      <c r="I25" s="9">
        <f t="shared" si="1"/>
        <v>560</v>
      </c>
    </row>
    <row r="26" spans="1:9" x14ac:dyDescent="0.3">
      <c r="A26" t="s">
        <v>68</v>
      </c>
      <c r="B26" t="s">
        <v>141</v>
      </c>
      <c r="C26" t="s">
        <v>142</v>
      </c>
      <c r="D26" t="s">
        <v>143</v>
      </c>
      <c r="E26" s="27">
        <f>[2]Tucker!G17</f>
        <v>0</v>
      </c>
      <c r="F26" s="28">
        <f>[2]Tucker!G36</f>
        <v>16.25</v>
      </c>
      <c r="G26" s="28">
        <f t="shared" si="0"/>
        <v>16.25</v>
      </c>
      <c r="H26">
        <v>40</v>
      </c>
      <c r="I26" s="9">
        <f t="shared" si="1"/>
        <v>650</v>
      </c>
    </row>
    <row r="27" spans="1:9" x14ac:dyDescent="0.3">
      <c r="A27" t="s">
        <v>68</v>
      </c>
      <c r="B27" t="s">
        <v>144</v>
      </c>
      <c r="C27" t="s">
        <v>145</v>
      </c>
      <c r="D27" t="s">
        <v>146</v>
      </c>
      <c r="E27" s="27">
        <f>[2]Ward!G17</f>
        <v>0</v>
      </c>
      <c r="F27" s="28">
        <f>[2]Ward!G36</f>
        <v>0</v>
      </c>
      <c r="G27" s="28">
        <f t="shared" si="0"/>
        <v>0</v>
      </c>
      <c r="H27">
        <v>40</v>
      </c>
      <c r="I27" s="9">
        <f t="shared" si="1"/>
        <v>0</v>
      </c>
    </row>
    <row r="28" spans="1:9" x14ac:dyDescent="0.3">
      <c r="A28" t="s">
        <v>68</v>
      </c>
      <c r="B28" t="s">
        <v>147</v>
      </c>
      <c r="C28" t="s">
        <v>148</v>
      </c>
      <c r="D28" t="s">
        <v>149</v>
      </c>
      <c r="E28" s="27">
        <f>[2]Whitehead!G17</f>
        <v>0</v>
      </c>
      <c r="F28" s="28">
        <f>[2]Whitehead!G36</f>
        <v>3</v>
      </c>
      <c r="G28" s="28">
        <f t="shared" si="0"/>
        <v>3</v>
      </c>
      <c r="H28">
        <v>40</v>
      </c>
      <c r="I28" s="9">
        <f t="shared" si="1"/>
        <v>120</v>
      </c>
    </row>
    <row r="30" spans="1:9" x14ac:dyDescent="0.3">
      <c r="B30" s="29"/>
      <c r="C30" s="29"/>
      <c r="D30" s="29"/>
      <c r="E30" s="29"/>
      <c r="F30" s="29"/>
      <c r="G30" s="29"/>
      <c r="H30" s="30" t="s">
        <v>150</v>
      </c>
      <c r="I30" s="31">
        <f>SUM(I2:I29)</f>
        <v>6370</v>
      </c>
    </row>
  </sheetData>
  <autoFilter ref="A1:I28" xr:uid="{3E963DBE-A953-4F70-869C-D3843AB36C53}"/>
  <pageMargins left="0.25" right="0.25" top="0.75" bottom="0.75" header="0.3" footer="0.3"/>
  <pageSetup scale="87" fitToHeight="0" orientation="portrait" r:id="rId1"/>
  <headerFooter>
    <oddHeader>&amp;C&amp;F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C7AB1-F690-4DFB-8E4C-06D6406FD43A}">
  <sheetPr>
    <tabColor rgb="FFC00000"/>
    <pageSetUpPr fitToPage="1"/>
  </sheetPr>
  <dimension ref="A1:I48"/>
  <sheetViews>
    <sheetView topLeftCell="A13" workbookViewId="0">
      <selection activeCell="N59" sqref="N59"/>
    </sheetView>
  </sheetViews>
  <sheetFormatPr defaultRowHeight="14.4" x14ac:dyDescent="0.3"/>
  <cols>
    <col min="1" max="1" width="11.5546875" bestFit="1" customWidth="1"/>
    <col min="2" max="2" width="18.44140625" bestFit="1" customWidth="1"/>
    <col min="4" max="4" width="12.33203125" style="59" customWidth="1"/>
    <col min="5" max="5" width="10.5546875" style="59" bestFit="1" customWidth="1"/>
    <col min="6" max="6" width="11.5546875" style="59" bestFit="1" customWidth="1"/>
    <col min="7" max="8" width="9.33203125" style="59"/>
    <col min="9" max="9" width="13" style="59" customWidth="1"/>
  </cols>
  <sheetData>
    <row r="1" spans="1:9" x14ac:dyDescent="0.3">
      <c r="A1" s="58" t="s">
        <v>425</v>
      </c>
    </row>
    <row r="2" spans="1:9" x14ac:dyDescent="0.3">
      <c r="A2" t="s">
        <v>426</v>
      </c>
    </row>
    <row r="3" spans="1:9" x14ac:dyDescent="0.3">
      <c r="A3" s="63" t="s">
        <v>449</v>
      </c>
    </row>
    <row r="5" spans="1:9" x14ac:dyDescent="0.3">
      <c r="A5" s="1" t="s">
        <v>427</v>
      </c>
      <c r="B5" s="1" t="s">
        <v>428</v>
      </c>
      <c r="C5" s="1" t="s">
        <v>429</v>
      </c>
      <c r="D5" s="60" t="s">
        <v>430</v>
      </c>
      <c r="E5" s="60" t="s">
        <v>431</v>
      </c>
      <c r="F5" s="60" t="s">
        <v>432</v>
      </c>
      <c r="G5" s="60" t="s">
        <v>433</v>
      </c>
      <c r="H5" s="60" t="s">
        <v>458</v>
      </c>
      <c r="I5" s="60" t="s">
        <v>27</v>
      </c>
    </row>
    <row r="6" spans="1:9" x14ac:dyDescent="0.3">
      <c r="A6" s="61">
        <v>43929</v>
      </c>
      <c r="B6" t="s">
        <v>434</v>
      </c>
      <c r="C6">
        <v>8</v>
      </c>
      <c r="D6" s="59">
        <v>148.62</v>
      </c>
      <c r="E6" s="59">
        <f t="shared" ref="E6:E16" si="0">SUM(D6*14%)</f>
        <v>20.806800000000003</v>
      </c>
      <c r="F6" s="59">
        <f t="shared" ref="F6:F32" si="1">SUM(D6*1.45%)</f>
        <v>2.1549899999999997</v>
      </c>
      <c r="G6" s="59">
        <f>SUM(D6*0.38%)</f>
        <v>0.56475600000000004</v>
      </c>
      <c r="I6" s="59">
        <f>SUM(D6:H6)</f>
        <v>172.146546</v>
      </c>
    </row>
    <row r="7" spans="1:9" x14ac:dyDescent="0.3">
      <c r="A7" s="61">
        <v>43943</v>
      </c>
      <c r="B7" t="s">
        <v>435</v>
      </c>
      <c r="C7">
        <v>80</v>
      </c>
      <c r="D7" s="59">
        <v>1033.8699999999999</v>
      </c>
      <c r="E7" s="59">
        <f t="shared" si="0"/>
        <v>144.74180000000001</v>
      </c>
      <c r="F7" s="59">
        <f t="shared" si="1"/>
        <v>14.991114999999997</v>
      </c>
      <c r="G7" s="59">
        <f>SUM(D7*2%)</f>
        <v>20.677399999999999</v>
      </c>
      <c r="I7" s="59">
        <f t="shared" ref="I7:I40" si="2">SUM(D7:H7)</f>
        <v>1214.280315</v>
      </c>
    </row>
    <row r="8" spans="1:9" x14ac:dyDescent="0.3">
      <c r="A8" s="61">
        <v>43943</v>
      </c>
      <c r="B8" t="s">
        <v>436</v>
      </c>
      <c r="C8">
        <v>32</v>
      </c>
      <c r="D8" s="59">
        <v>792.48</v>
      </c>
      <c r="E8" s="59">
        <f t="shared" si="0"/>
        <v>110.94720000000001</v>
      </c>
      <c r="F8" s="59">
        <f t="shared" si="1"/>
        <v>11.490959999999999</v>
      </c>
      <c r="G8" s="59">
        <f>SUM(D8*0.3%)</f>
        <v>2.37744</v>
      </c>
      <c r="I8" s="59">
        <f t="shared" si="2"/>
        <v>917.29560000000004</v>
      </c>
    </row>
    <row r="9" spans="1:9" x14ac:dyDescent="0.3">
      <c r="A9" s="61">
        <v>43943</v>
      </c>
      <c r="B9" t="s">
        <v>434</v>
      </c>
      <c r="C9">
        <v>16</v>
      </c>
      <c r="D9" s="59">
        <v>297.25</v>
      </c>
      <c r="E9" s="59">
        <f t="shared" si="0"/>
        <v>41.615000000000002</v>
      </c>
      <c r="F9" s="59">
        <f t="shared" si="1"/>
        <v>4.3101249999999993</v>
      </c>
      <c r="G9" s="59">
        <f>SUM(D9*0.38%)</f>
        <v>1.1295500000000001</v>
      </c>
      <c r="I9" s="59">
        <f t="shared" si="2"/>
        <v>344.30467499999997</v>
      </c>
    </row>
    <row r="10" spans="1:9" x14ac:dyDescent="0.3">
      <c r="A10" s="61">
        <v>43957</v>
      </c>
      <c r="B10" t="s">
        <v>437</v>
      </c>
      <c r="C10">
        <v>12</v>
      </c>
      <c r="D10" s="59">
        <v>398.14</v>
      </c>
      <c r="E10" s="59">
        <f t="shared" si="0"/>
        <v>55.739600000000003</v>
      </c>
      <c r="F10" s="59">
        <f t="shared" si="1"/>
        <v>5.7730299999999994</v>
      </c>
      <c r="G10" s="59">
        <f>SUM(D10*1.3%)</f>
        <v>5.1758199999999999</v>
      </c>
      <c r="I10" s="59">
        <f t="shared" si="2"/>
        <v>464.82844999999998</v>
      </c>
    </row>
    <row r="11" spans="1:9" x14ac:dyDescent="0.3">
      <c r="A11" s="61">
        <v>43957</v>
      </c>
      <c r="B11" t="s">
        <v>438</v>
      </c>
      <c r="C11">
        <v>32</v>
      </c>
      <c r="D11" s="59">
        <v>624.22</v>
      </c>
      <c r="E11" s="59">
        <f t="shared" si="0"/>
        <v>87.390800000000013</v>
      </c>
      <c r="F11" s="59">
        <f t="shared" si="1"/>
        <v>9.0511900000000001</v>
      </c>
      <c r="G11" s="59">
        <f>SUM(D11*0.1%)</f>
        <v>0.62422</v>
      </c>
      <c r="I11" s="59">
        <f t="shared" si="2"/>
        <v>721.2862100000001</v>
      </c>
    </row>
    <row r="12" spans="1:9" x14ac:dyDescent="0.3">
      <c r="A12" s="61">
        <v>43971</v>
      </c>
      <c r="B12" t="s">
        <v>439</v>
      </c>
      <c r="C12">
        <v>39.25</v>
      </c>
      <c r="D12" s="59">
        <v>644.30999999999995</v>
      </c>
      <c r="E12" s="59">
        <f t="shared" si="0"/>
        <v>90.203400000000002</v>
      </c>
      <c r="F12" s="59">
        <f t="shared" si="1"/>
        <v>9.3424949999999978</v>
      </c>
      <c r="G12" s="59">
        <f>SUM(D12*1.3%)</f>
        <v>8.3760300000000001</v>
      </c>
      <c r="I12" s="59">
        <f t="shared" si="2"/>
        <v>752.23192499999993</v>
      </c>
    </row>
    <row r="13" spans="1:9" x14ac:dyDescent="0.3">
      <c r="A13" s="61">
        <v>43971</v>
      </c>
      <c r="B13" t="s">
        <v>440</v>
      </c>
      <c r="C13">
        <v>36</v>
      </c>
      <c r="D13" s="59">
        <v>746.92</v>
      </c>
      <c r="E13" s="59">
        <f t="shared" si="0"/>
        <v>104.56880000000001</v>
      </c>
      <c r="F13" s="59">
        <f t="shared" si="1"/>
        <v>10.830339999999998</v>
      </c>
      <c r="G13" s="59">
        <f>SUM(D13*1.6%)</f>
        <v>11.95072</v>
      </c>
      <c r="I13" s="59">
        <f t="shared" si="2"/>
        <v>874.26985999999999</v>
      </c>
    </row>
    <row r="14" spans="1:9" x14ac:dyDescent="0.3">
      <c r="A14" s="61">
        <v>43971</v>
      </c>
      <c r="B14" t="s">
        <v>437</v>
      </c>
      <c r="C14">
        <v>116</v>
      </c>
      <c r="D14" s="59">
        <v>3920.56</v>
      </c>
      <c r="E14" s="59">
        <f t="shared" si="0"/>
        <v>548.87840000000006</v>
      </c>
      <c r="F14" s="59">
        <f t="shared" si="1"/>
        <v>56.848119999999994</v>
      </c>
      <c r="G14" s="59">
        <f>SUM(D14*1.5%)</f>
        <v>58.808399999999999</v>
      </c>
      <c r="I14" s="59">
        <f t="shared" si="2"/>
        <v>4585.0949199999995</v>
      </c>
    </row>
    <row r="15" spans="1:9" x14ac:dyDescent="0.3">
      <c r="A15" s="61">
        <v>43985</v>
      </c>
      <c r="B15" t="s">
        <v>439</v>
      </c>
      <c r="C15">
        <v>40</v>
      </c>
      <c r="D15" s="59">
        <v>1023.87</v>
      </c>
      <c r="E15" s="59">
        <f t="shared" si="0"/>
        <v>143.34180000000001</v>
      </c>
      <c r="F15" s="59">
        <f t="shared" si="1"/>
        <v>14.846114999999999</v>
      </c>
      <c r="G15" s="59">
        <f>SUM(D15*1.3%)</f>
        <v>13.310310000000001</v>
      </c>
      <c r="I15" s="59">
        <f t="shared" si="2"/>
        <v>1195.3682250000002</v>
      </c>
    </row>
    <row r="16" spans="1:9" x14ac:dyDescent="0.3">
      <c r="A16" s="61">
        <v>43985</v>
      </c>
      <c r="B16" t="s">
        <v>456</v>
      </c>
      <c r="C16">
        <v>10</v>
      </c>
      <c r="D16" s="59">
        <v>207.48</v>
      </c>
      <c r="E16" s="59">
        <f t="shared" si="0"/>
        <v>29.0472</v>
      </c>
      <c r="F16" s="59">
        <f t="shared" si="1"/>
        <v>3.0084599999999995</v>
      </c>
      <c r="G16" s="59">
        <f>SUM(D16*0.1%)</f>
        <v>0.20748</v>
      </c>
      <c r="I16" s="59">
        <f t="shared" si="2"/>
        <v>239.74314000000001</v>
      </c>
    </row>
    <row r="17" spans="1:9" x14ac:dyDescent="0.3">
      <c r="A17" s="61">
        <v>43985</v>
      </c>
      <c r="B17" t="s">
        <v>457</v>
      </c>
      <c r="C17">
        <v>8</v>
      </c>
      <c r="D17" s="59">
        <v>169.62</v>
      </c>
      <c r="E17" s="59">
        <v>0</v>
      </c>
      <c r="F17" s="59">
        <f t="shared" si="1"/>
        <v>2.4594899999999997</v>
      </c>
      <c r="G17" s="59">
        <f>SUM(D17*0.1%)</f>
        <v>0.16962000000000002</v>
      </c>
      <c r="H17" s="59">
        <f>SUM(D17*1.3%)</f>
        <v>2.2050600000000005</v>
      </c>
      <c r="I17" s="59">
        <f t="shared" si="2"/>
        <v>174.45417</v>
      </c>
    </row>
    <row r="18" spans="1:9" x14ac:dyDescent="0.3">
      <c r="A18" s="61">
        <v>43999</v>
      </c>
      <c r="B18" t="s">
        <v>496</v>
      </c>
      <c r="C18">
        <v>36</v>
      </c>
      <c r="D18" s="59">
        <v>288.08999999999997</v>
      </c>
      <c r="E18" s="59">
        <v>0</v>
      </c>
      <c r="F18" s="59">
        <f t="shared" si="1"/>
        <v>4.1773049999999996</v>
      </c>
      <c r="G18" s="59">
        <v>4.32</v>
      </c>
      <c r="H18" s="59">
        <v>3.74</v>
      </c>
      <c r="I18" s="59">
        <f t="shared" si="2"/>
        <v>300.32730499999997</v>
      </c>
    </row>
    <row r="19" spans="1:9" x14ac:dyDescent="0.3">
      <c r="A19" s="61">
        <v>43999</v>
      </c>
      <c r="B19" t="s">
        <v>437</v>
      </c>
      <c r="C19">
        <v>50</v>
      </c>
      <c r="D19" s="59">
        <v>1037.4000000000001</v>
      </c>
      <c r="E19" s="59">
        <f t="shared" ref="E19:E32" si="3">SUM(D19*14%)</f>
        <v>145.23600000000002</v>
      </c>
      <c r="F19" s="59">
        <f t="shared" si="1"/>
        <v>15.042300000000001</v>
      </c>
      <c r="G19" s="59">
        <v>1.03</v>
      </c>
      <c r="H19" s="59">
        <v>0</v>
      </c>
      <c r="I19" s="59">
        <f t="shared" si="2"/>
        <v>1198.7083000000002</v>
      </c>
    </row>
    <row r="20" spans="1:9" x14ac:dyDescent="0.3">
      <c r="A20" s="61">
        <v>44013</v>
      </c>
      <c r="B20" t="s">
        <v>549</v>
      </c>
      <c r="C20">
        <v>22</v>
      </c>
      <c r="D20" s="59">
        <v>401.75</v>
      </c>
      <c r="E20" s="59">
        <f t="shared" si="3"/>
        <v>56.245000000000005</v>
      </c>
      <c r="F20" s="59">
        <f t="shared" si="1"/>
        <v>5.8253749999999993</v>
      </c>
      <c r="G20" s="59">
        <f>SUM(D20*2%)</f>
        <v>8.0350000000000001</v>
      </c>
      <c r="I20" s="59">
        <f t="shared" si="2"/>
        <v>471.85537500000004</v>
      </c>
    </row>
    <row r="21" spans="1:9" x14ac:dyDescent="0.3">
      <c r="A21" s="61">
        <v>44013</v>
      </c>
      <c r="B21" t="s">
        <v>439</v>
      </c>
      <c r="C21">
        <v>2.5</v>
      </c>
      <c r="D21" s="59">
        <v>57.2</v>
      </c>
      <c r="E21" s="59">
        <f t="shared" si="3"/>
        <v>8.0080000000000009</v>
      </c>
      <c r="F21" s="59">
        <f t="shared" si="1"/>
        <v>0.82940000000000003</v>
      </c>
      <c r="G21" s="59">
        <f>SUM(D21*1.3%)</f>
        <v>0.74360000000000015</v>
      </c>
      <c r="I21" s="59">
        <f t="shared" si="2"/>
        <v>66.781000000000006</v>
      </c>
    </row>
    <row r="22" spans="1:9" x14ac:dyDescent="0.3">
      <c r="A22" s="61">
        <v>44013</v>
      </c>
      <c r="B22" t="s">
        <v>440</v>
      </c>
      <c r="C22">
        <v>12</v>
      </c>
      <c r="D22" s="59">
        <v>207.19</v>
      </c>
      <c r="E22" s="59">
        <f t="shared" si="3"/>
        <v>29.006600000000002</v>
      </c>
      <c r="F22" s="59">
        <f t="shared" si="1"/>
        <v>3.0042549999999997</v>
      </c>
      <c r="G22" s="59">
        <f>SUM(D22*1.6%)</f>
        <v>3.3150400000000002</v>
      </c>
      <c r="I22" s="59">
        <f t="shared" si="2"/>
        <v>242.515895</v>
      </c>
    </row>
    <row r="23" spans="1:9" x14ac:dyDescent="0.3">
      <c r="A23" s="61">
        <v>44013</v>
      </c>
      <c r="B23" t="s">
        <v>456</v>
      </c>
      <c r="C23">
        <v>10</v>
      </c>
      <c r="D23" s="59">
        <v>207.48</v>
      </c>
      <c r="E23" s="59">
        <f t="shared" si="3"/>
        <v>29.0472</v>
      </c>
      <c r="F23" s="59">
        <f t="shared" si="1"/>
        <v>3.0084599999999995</v>
      </c>
      <c r="G23" s="59">
        <f>SUM(D23*0.1%)</f>
        <v>0.20748</v>
      </c>
      <c r="I23" s="59">
        <f t="shared" si="2"/>
        <v>239.74314000000001</v>
      </c>
    </row>
    <row r="24" spans="1:9" x14ac:dyDescent="0.3">
      <c r="A24" s="61">
        <v>44013</v>
      </c>
      <c r="B24" t="s">
        <v>550</v>
      </c>
      <c r="C24">
        <v>24</v>
      </c>
      <c r="D24" s="59">
        <v>766.24</v>
      </c>
      <c r="E24" s="59">
        <f t="shared" si="3"/>
        <v>107.27360000000002</v>
      </c>
      <c r="F24" s="59">
        <f t="shared" si="1"/>
        <v>11.110479999999999</v>
      </c>
      <c r="G24" s="59">
        <f>SUM(D24*1.6%)</f>
        <v>12.259840000000001</v>
      </c>
      <c r="I24" s="59">
        <f t="shared" si="2"/>
        <v>896.8839200000001</v>
      </c>
    </row>
    <row r="25" spans="1:9" x14ac:dyDescent="0.3">
      <c r="A25" s="61">
        <v>44027</v>
      </c>
      <c r="B25" t="s">
        <v>625</v>
      </c>
      <c r="C25">
        <v>48</v>
      </c>
      <c r="D25" s="59">
        <v>468</v>
      </c>
      <c r="E25" s="59">
        <v>0</v>
      </c>
      <c r="F25" s="59">
        <f t="shared" si="1"/>
        <v>6.7859999999999996</v>
      </c>
      <c r="G25" s="59">
        <f>SUM(D25*1.5%)</f>
        <v>7.02</v>
      </c>
      <c r="H25" s="59">
        <f>SUM(D25*1.3%)</f>
        <v>6.0840000000000005</v>
      </c>
      <c r="I25" s="59">
        <f t="shared" si="2"/>
        <v>487.89</v>
      </c>
    </row>
    <row r="26" spans="1:9" x14ac:dyDescent="0.3">
      <c r="A26" s="61">
        <v>44027</v>
      </c>
      <c r="B26" t="s">
        <v>626</v>
      </c>
      <c r="C26">
        <v>48</v>
      </c>
      <c r="D26" s="59">
        <v>639.77</v>
      </c>
      <c r="E26" s="59">
        <f t="shared" si="3"/>
        <v>89.567800000000005</v>
      </c>
      <c r="F26" s="59">
        <f t="shared" si="1"/>
        <v>9.2766649999999995</v>
      </c>
      <c r="G26" s="59">
        <f>SUM(D26*1.5%)</f>
        <v>9.5965499999999988</v>
      </c>
      <c r="I26" s="59">
        <f t="shared" si="2"/>
        <v>748.21101499999997</v>
      </c>
    </row>
    <row r="27" spans="1:9" x14ac:dyDescent="0.3">
      <c r="A27" s="61">
        <v>44027</v>
      </c>
      <c r="B27" t="s">
        <v>627</v>
      </c>
      <c r="C27">
        <v>52.25</v>
      </c>
      <c r="D27" s="59">
        <v>764.99</v>
      </c>
      <c r="E27" s="59">
        <f t="shared" si="3"/>
        <v>107.0986</v>
      </c>
      <c r="F27" s="59">
        <f t="shared" si="1"/>
        <v>11.092355</v>
      </c>
      <c r="G27" s="59">
        <f>SUM(D27*2%)</f>
        <v>15.299800000000001</v>
      </c>
      <c r="I27" s="59">
        <f t="shared" si="2"/>
        <v>898.48075500000004</v>
      </c>
    </row>
    <row r="28" spans="1:9" x14ac:dyDescent="0.3">
      <c r="A28" s="61">
        <v>44027</v>
      </c>
      <c r="B28" t="s">
        <v>550</v>
      </c>
      <c r="C28">
        <v>186</v>
      </c>
      <c r="D28" s="59">
        <v>6466.21</v>
      </c>
      <c r="E28" s="59">
        <f t="shared" si="3"/>
        <v>905.26940000000013</v>
      </c>
      <c r="F28" s="59">
        <f t="shared" si="1"/>
        <v>93.760044999999991</v>
      </c>
      <c r="G28" s="59">
        <f>SUM(D28*1.6%)</f>
        <v>103.45936</v>
      </c>
      <c r="I28" s="59">
        <f t="shared" si="2"/>
        <v>7568.698805</v>
      </c>
    </row>
    <row r="29" spans="1:9" x14ac:dyDescent="0.3">
      <c r="A29" s="61">
        <v>44041</v>
      </c>
      <c r="B29" t="s">
        <v>625</v>
      </c>
      <c r="C29">
        <v>12</v>
      </c>
      <c r="D29" s="59">
        <v>117</v>
      </c>
      <c r="E29" s="59">
        <v>0</v>
      </c>
      <c r="F29" s="59">
        <f t="shared" si="1"/>
        <v>1.6964999999999999</v>
      </c>
      <c r="G29" s="59">
        <f>SUM(D29*1.5%)</f>
        <v>1.7549999999999999</v>
      </c>
      <c r="H29" s="59">
        <f>SUM(D29*1.3%)</f>
        <v>1.5210000000000001</v>
      </c>
      <c r="I29" s="59">
        <f t="shared" si="2"/>
        <v>121.9725</v>
      </c>
    </row>
    <row r="30" spans="1:9" x14ac:dyDescent="0.3">
      <c r="A30" s="61">
        <v>44041</v>
      </c>
      <c r="B30" t="s">
        <v>549</v>
      </c>
      <c r="C30">
        <v>24</v>
      </c>
      <c r="D30" s="59">
        <v>415.86</v>
      </c>
      <c r="E30" s="59">
        <f t="shared" si="3"/>
        <v>58.220400000000005</v>
      </c>
      <c r="F30" s="59">
        <f t="shared" si="1"/>
        <v>6.0299699999999996</v>
      </c>
      <c r="G30" s="59">
        <f>SUM(D30*2%)</f>
        <v>8.3171999999999997</v>
      </c>
      <c r="I30" s="59">
        <f t="shared" si="2"/>
        <v>488.42757</v>
      </c>
    </row>
    <row r="31" spans="1:9" x14ac:dyDescent="0.3">
      <c r="A31" s="61">
        <v>44041</v>
      </c>
      <c r="B31" t="s">
        <v>626</v>
      </c>
      <c r="C31">
        <v>12</v>
      </c>
      <c r="D31" s="59">
        <v>159.94</v>
      </c>
      <c r="E31" s="59">
        <f t="shared" si="3"/>
        <v>22.3916</v>
      </c>
      <c r="F31" s="59">
        <f t="shared" si="1"/>
        <v>2.3191299999999999</v>
      </c>
      <c r="G31" s="59">
        <f>SUM(D31*1.5%)</f>
        <v>2.3990999999999998</v>
      </c>
      <c r="I31" s="59">
        <f t="shared" si="2"/>
        <v>187.04983000000001</v>
      </c>
    </row>
    <row r="32" spans="1:9" x14ac:dyDescent="0.3">
      <c r="A32" s="61">
        <v>44041</v>
      </c>
      <c r="B32" t="s">
        <v>627</v>
      </c>
      <c r="C32">
        <v>27.75</v>
      </c>
      <c r="D32" s="59">
        <v>406.28</v>
      </c>
      <c r="E32" s="59">
        <f t="shared" si="3"/>
        <v>56.879200000000004</v>
      </c>
      <c r="F32" s="59">
        <f t="shared" si="1"/>
        <v>5.8910599999999995</v>
      </c>
      <c r="G32" s="59">
        <f>SUM(D32*2%)</f>
        <v>8.1256000000000004</v>
      </c>
      <c r="I32" s="59">
        <f t="shared" si="2"/>
        <v>477.17586</v>
      </c>
    </row>
    <row r="33" spans="1:9" x14ac:dyDescent="0.3">
      <c r="A33" s="61">
        <v>44041</v>
      </c>
      <c r="B33" t="s">
        <v>550</v>
      </c>
      <c r="C33">
        <v>42</v>
      </c>
      <c r="D33" s="59">
        <v>1443.25</v>
      </c>
      <c r="E33" s="59">
        <f t="shared" ref="E33:E40" si="4">SUM(D33*14%)</f>
        <v>202.05500000000001</v>
      </c>
      <c r="F33" s="59">
        <f t="shared" ref="F33:F40" si="5">SUM(D33*1.45%)</f>
        <v>20.927125</v>
      </c>
      <c r="G33" s="59">
        <f>SUM(D33*1.6%)</f>
        <v>23.091999999999999</v>
      </c>
      <c r="I33" s="59">
        <f t="shared" si="2"/>
        <v>1689.3241250000001</v>
      </c>
    </row>
    <row r="34" spans="1:9" x14ac:dyDescent="0.3">
      <c r="A34" s="61">
        <v>44041</v>
      </c>
      <c r="B34" t="s">
        <v>456</v>
      </c>
      <c r="C34">
        <v>30</v>
      </c>
      <c r="D34" s="59">
        <v>408.28</v>
      </c>
      <c r="E34" s="59">
        <f t="shared" si="4"/>
        <v>57.159199999999998</v>
      </c>
      <c r="F34" s="59">
        <f t="shared" si="5"/>
        <v>5.9200599999999994</v>
      </c>
      <c r="G34" s="59">
        <f>SUM(D34*0.1%)</f>
        <v>0.40827999999999998</v>
      </c>
      <c r="I34" s="59">
        <f t="shared" si="2"/>
        <v>471.76753999999994</v>
      </c>
    </row>
    <row r="35" spans="1:9" x14ac:dyDescent="0.3">
      <c r="A35" s="61">
        <v>44041</v>
      </c>
      <c r="B35" t="s">
        <v>628</v>
      </c>
      <c r="C35">
        <v>24</v>
      </c>
      <c r="D35" s="59">
        <v>414.34</v>
      </c>
      <c r="E35" s="59">
        <f t="shared" si="4"/>
        <v>58.007600000000004</v>
      </c>
      <c r="F35" s="59">
        <f t="shared" si="5"/>
        <v>6.0079299999999991</v>
      </c>
      <c r="G35" s="59">
        <f>SUM(D35*2.3%)</f>
        <v>9.5298199999999991</v>
      </c>
      <c r="I35" s="59">
        <f t="shared" si="2"/>
        <v>487.88534999999996</v>
      </c>
    </row>
    <row r="36" spans="1:9" x14ac:dyDescent="0.3">
      <c r="A36" s="61">
        <v>44050</v>
      </c>
      <c r="B36" t="s">
        <v>682</v>
      </c>
      <c r="C36">
        <v>888</v>
      </c>
      <c r="D36" s="59">
        <v>8757.6200000000008</v>
      </c>
      <c r="E36" s="59">
        <f t="shared" si="4"/>
        <v>1226.0668000000003</v>
      </c>
      <c r="F36" s="59">
        <f t="shared" si="5"/>
        <v>126.98549</v>
      </c>
      <c r="G36" s="59">
        <f>SUM(D36*1%)</f>
        <v>87.576200000000014</v>
      </c>
      <c r="I36" s="59">
        <f t="shared" si="2"/>
        <v>10198.24849</v>
      </c>
    </row>
    <row r="37" spans="1:9" x14ac:dyDescent="0.3">
      <c r="A37" s="61">
        <v>44055</v>
      </c>
      <c r="B37" t="s">
        <v>681</v>
      </c>
      <c r="C37">
        <v>14</v>
      </c>
      <c r="D37" s="59">
        <v>366.38</v>
      </c>
      <c r="E37" s="59">
        <f t="shared" si="4"/>
        <v>51.293200000000006</v>
      </c>
      <c r="F37" s="59">
        <f t="shared" si="5"/>
        <v>5.3125099999999996</v>
      </c>
      <c r="G37" s="59">
        <f>SUM(D37*0.3%)</f>
        <v>1.09914</v>
      </c>
      <c r="I37" s="59">
        <f t="shared" si="2"/>
        <v>424.08484999999996</v>
      </c>
    </row>
    <row r="38" spans="1:9" x14ac:dyDescent="0.3">
      <c r="A38" s="61">
        <v>44055</v>
      </c>
      <c r="B38" t="s">
        <v>549</v>
      </c>
      <c r="C38">
        <v>56</v>
      </c>
      <c r="D38" s="59">
        <v>970.33</v>
      </c>
      <c r="E38" s="59">
        <f t="shared" si="4"/>
        <v>135.84620000000001</v>
      </c>
      <c r="F38" s="59">
        <f t="shared" si="5"/>
        <v>14.069785</v>
      </c>
      <c r="G38" s="59">
        <f>SUM(D38*2%)</f>
        <v>19.406600000000001</v>
      </c>
      <c r="I38" s="59">
        <f t="shared" si="2"/>
        <v>1139.652585</v>
      </c>
    </row>
    <row r="39" spans="1:9" x14ac:dyDescent="0.3">
      <c r="A39" s="61">
        <v>44069</v>
      </c>
      <c r="B39" t="s">
        <v>436</v>
      </c>
      <c r="C39">
        <v>40</v>
      </c>
      <c r="D39" s="59">
        <v>976.94</v>
      </c>
      <c r="E39" s="59">
        <f t="shared" si="4"/>
        <v>136.77160000000001</v>
      </c>
      <c r="F39" s="59">
        <f t="shared" si="5"/>
        <v>14.16563</v>
      </c>
      <c r="G39" s="59">
        <f>SUM(D39*0.3%)</f>
        <v>2.9308200000000002</v>
      </c>
      <c r="I39" s="59">
        <f t="shared" si="2"/>
        <v>1130.8080500000001</v>
      </c>
    </row>
    <row r="40" spans="1:9" x14ac:dyDescent="0.3">
      <c r="A40" s="61">
        <v>44069</v>
      </c>
      <c r="B40" t="s">
        <v>681</v>
      </c>
      <c r="C40">
        <f>10.5+60.5</f>
        <v>71</v>
      </c>
      <c r="D40" s="59">
        <f>274.79+1622.86</f>
        <v>1897.6499999999999</v>
      </c>
      <c r="E40" s="59">
        <f t="shared" si="4"/>
        <v>265.67099999999999</v>
      </c>
      <c r="F40" s="59">
        <f t="shared" si="5"/>
        <v>27.515924999999996</v>
      </c>
      <c r="G40" s="59">
        <f>SUM(D40*0.3%)</f>
        <v>5.6929499999999997</v>
      </c>
      <c r="I40" s="59">
        <f t="shared" si="2"/>
        <v>2196.5298750000002</v>
      </c>
    </row>
    <row r="41" spans="1:9" x14ac:dyDescent="0.3">
      <c r="A41" s="61">
        <v>44083</v>
      </c>
      <c r="B41" t="s">
        <v>549</v>
      </c>
      <c r="C41">
        <v>55.5</v>
      </c>
      <c r="D41" s="59">
        <v>1230.44</v>
      </c>
      <c r="E41" s="59">
        <v>172.26160000000002</v>
      </c>
      <c r="F41" s="59">
        <v>17.841380000000001</v>
      </c>
      <c r="G41" s="59">
        <v>24.608800000000002</v>
      </c>
      <c r="I41" s="59">
        <v>1445.1517800000001</v>
      </c>
    </row>
    <row r="42" spans="1:9" x14ac:dyDescent="0.3">
      <c r="A42" s="61">
        <v>44095</v>
      </c>
      <c r="B42" t="s">
        <v>682</v>
      </c>
      <c r="C42">
        <v>144</v>
      </c>
      <c r="D42" s="59">
        <v>4280.51</v>
      </c>
      <c r="E42" s="59">
        <v>599.27140000000009</v>
      </c>
      <c r="F42" s="59">
        <v>62.067394999999998</v>
      </c>
      <c r="G42" s="59">
        <v>42.805100000000003</v>
      </c>
      <c r="I42" s="59">
        <v>4984.6538949999995</v>
      </c>
    </row>
    <row r="43" spans="1:9" x14ac:dyDescent="0.3">
      <c r="A43" s="61">
        <v>44097</v>
      </c>
      <c r="B43" t="s">
        <v>804</v>
      </c>
      <c r="C43">
        <v>0</v>
      </c>
      <c r="D43" s="59">
        <v>0</v>
      </c>
      <c r="E43" s="59">
        <v>0</v>
      </c>
      <c r="F43" s="59">
        <v>0</v>
      </c>
      <c r="G43" s="59">
        <v>0</v>
      </c>
      <c r="I43" s="59">
        <v>0</v>
      </c>
    </row>
    <row r="44" spans="1:9" x14ac:dyDescent="0.3">
      <c r="A44" s="61">
        <v>44110</v>
      </c>
      <c r="B44" t="s">
        <v>682</v>
      </c>
      <c r="C44">
        <v>152</v>
      </c>
      <c r="D44" s="59">
        <v>3226.66</v>
      </c>
      <c r="E44" s="59">
        <v>451.73240000000004</v>
      </c>
      <c r="F44" s="59">
        <v>0</v>
      </c>
      <c r="G44" s="59">
        <v>32.266599999999997</v>
      </c>
      <c r="I44" s="59">
        <v>3710.6589999999997</v>
      </c>
    </row>
    <row r="45" spans="1:9" x14ac:dyDescent="0.3">
      <c r="A45" s="61">
        <v>44111</v>
      </c>
      <c r="B45" t="s">
        <v>805</v>
      </c>
      <c r="C45">
        <v>58</v>
      </c>
      <c r="D45" s="59">
        <v>735.81</v>
      </c>
      <c r="E45" s="59">
        <v>103.0134</v>
      </c>
      <c r="F45" s="59">
        <v>10.669244999999998</v>
      </c>
      <c r="G45" s="59">
        <v>0.14716199999999999</v>
      </c>
      <c r="I45" s="59">
        <v>849.63980700000002</v>
      </c>
    </row>
    <row r="46" spans="1:9" x14ac:dyDescent="0.3">
      <c r="A46" s="61"/>
    </row>
    <row r="47" spans="1:9" ht="15" thickBot="1" x14ac:dyDescent="0.35">
      <c r="D47" s="64">
        <f>SUM(D6:D46)</f>
        <v>47118.95</v>
      </c>
      <c r="E47" s="64">
        <f t="shared" ref="E47:I47" si="6">SUM(E6:E46)</f>
        <v>6450.673600000001</v>
      </c>
      <c r="F47" s="64">
        <f t="shared" si="6"/>
        <v>636.43820499999993</v>
      </c>
      <c r="G47" s="64">
        <f t="shared" si="6"/>
        <v>558.81878800000004</v>
      </c>
      <c r="H47" s="64">
        <f>SUM(H6:H46)</f>
        <v>13.550060000000002</v>
      </c>
      <c r="I47" s="65">
        <f t="shared" si="6"/>
        <v>54778.430653000003</v>
      </c>
    </row>
    <row r="48" spans="1:9" ht="15" thickTop="1" x14ac:dyDescent="0.3"/>
  </sheetData>
  <pageMargins left="0.7" right="0.2" top="0.75" bottom="0.75" header="0.3" footer="0.3"/>
  <pageSetup scale="92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4DBC-8A78-4EB6-B78C-B4691AC175B7}">
  <sheetPr>
    <tabColor rgb="FFC00000"/>
    <pageSetUpPr fitToPage="1"/>
  </sheetPr>
  <dimension ref="A1:H123"/>
  <sheetViews>
    <sheetView topLeftCell="A16" workbookViewId="0">
      <selection activeCell="D103" sqref="D103"/>
    </sheetView>
  </sheetViews>
  <sheetFormatPr defaultRowHeight="14.4" x14ac:dyDescent="0.3"/>
  <cols>
    <col min="1" max="1" width="11.5546875" bestFit="1" customWidth="1"/>
    <col min="2" max="2" width="21.33203125" customWidth="1"/>
    <col min="3" max="3" width="13.33203125" customWidth="1"/>
    <col min="4" max="6" width="11.5546875" style="59" bestFit="1" customWidth="1"/>
    <col min="7" max="7" width="10.5546875" style="59" bestFit="1" customWidth="1"/>
    <col min="8" max="8" width="14.6640625" customWidth="1"/>
  </cols>
  <sheetData>
    <row r="1" spans="1:8" x14ac:dyDescent="0.3">
      <c r="A1" t="s">
        <v>441</v>
      </c>
    </row>
    <row r="2" spans="1:8" x14ac:dyDescent="0.3">
      <c r="B2" t="s">
        <v>442</v>
      </c>
    </row>
    <row r="3" spans="1:8" x14ac:dyDescent="0.3">
      <c r="B3" t="s">
        <v>443</v>
      </c>
    </row>
    <row r="4" spans="1:8" x14ac:dyDescent="0.3">
      <c r="B4" t="s">
        <v>444</v>
      </c>
    </row>
    <row r="5" spans="1:8" x14ac:dyDescent="0.3">
      <c r="B5" t="s">
        <v>445</v>
      </c>
    </row>
    <row r="6" spans="1:8" x14ac:dyDescent="0.3">
      <c r="B6" s="62" t="s">
        <v>446</v>
      </c>
    </row>
    <row r="7" spans="1:8" x14ac:dyDescent="0.3">
      <c r="B7" t="s">
        <v>447</v>
      </c>
    </row>
    <row r="8" spans="1:8" x14ac:dyDescent="0.3">
      <c r="B8" t="s">
        <v>448</v>
      </c>
    </row>
    <row r="9" spans="1:8" x14ac:dyDescent="0.3">
      <c r="A9" s="63" t="s">
        <v>449</v>
      </c>
    </row>
    <row r="10" spans="1:8" x14ac:dyDescent="0.3">
      <c r="A10" s="63"/>
    </row>
    <row r="11" spans="1:8" x14ac:dyDescent="0.3">
      <c r="A11" t="s">
        <v>427</v>
      </c>
      <c r="B11" t="s">
        <v>428</v>
      </c>
      <c r="C11" t="s">
        <v>429</v>
      </c>
      <c r="D11" s="59" t="s">
        <v>430</v>
      </c>
      <c r="E11" s="59" t="s">
        <v>431</v>
      </c>
      <c r="F11" s="59" t="s">
        <v>432</v>
      </c>
      <c r="G11" s="59" t="s">
        <v>433</v>
      </c>
      <c r="H11" s="59" t="s">
        <v>27</v>
      </c>
    </row>
    <row r="12" spans="1:8" x14ac:dyDescent="0.3">
      <c r="A12" s="61">
        <v>43929</v>
      </c>
      <c r="B12" t="s">
        <v>460</v>
      </c>
      <c r="C12">
        <v>80</v>
      </c>
      <c r="D12" s="59">
        <v>1180.3499999999999</v>
      </c>
      <c r="E12" s="59">
        <f t="shared" ref="E12:E77" si="0">SUM(D12*14%)</f>
        <v>165.249</v>
      </c>
      <c r="F12" s="59">
        <f t="shared" ref="F12:F77" si="1">SUM(D12*1.45%)</f>
        <v>17.115074999999997</v>
      </c>
      <c r="G12" s="59">
        <f>SUM(D12*1.5%)</f>
        <v>17.705249999999999</v>
      </c>
      <c r="H12" s="59">
        <f t="shared" ref="H12:H80" si="2">SUM(D12:G12)</f>
        <v>1380.4193249999998</v>
      </c>
    </row>
    <row r="13" spans="1:8" x14ac:dyDescent="0.3">
      <c r="A13" s="61">
        <v>43943</v>
      </c>
      <c r="B13" t="s">
        <v>460</v>
      </c>
      <c r="C13">
        <v>155</v>
      </c>
      <c r="D13" s="59">
        <v>2491.8200000000002</v>
      </c>
      <c r="E13" s="59">
        <f t="shared" si="0"/>
        <v>348.85480000000007</v>
      </c>
      <c r="F13" s="59">
        <f t="shared" si="1"/>
        <v>36.131390000000003</v>
      </c>
      <c r="G13" s="59">
        <f>SUM(D13*1.5%)</f>
        <v>37.377299999999998</v>
      </c>
      <c r="H13" s="59">
        <f t="shared" si="2"/>
        <v>2914.1834900000003</v>
      </c>
    </row>
    <row r="14" spans="1:8" x14ac:dyDescent="0.3">
      <c r="A14" s="61">
        <v>43943</v>
      </c>
      <c r="B14" t="s">
        <v>466</v>
      </c>
      <c r="C14">
        <v>15</v>
      </c>
      <c r="D14" s="59">
        <v>357.93</v>
      </c>
      <c r="E14" s="59">
        <f t="shared" si="0"/>
        <v>50.110200000000006</v>
      </c>
      <c r="F14" s="59">
        <f t="shared" si="1"/>
        <v>5.1899850000000001</v>
      </c>
      <c r="G14" s="59">
        <f>SUM(D14*2.9%)</f>
        <v>10.37997</v>
      </c>
      <c r="H14" s="59">
        <f t="shared" si="2"/>
        <v>423.61015500000002</v>
      </c>
    </row>
    <row r="15" spans="1:8" x14ac:dyDescent="0.3">
      <c r="A15" s="61">
        <v>43943</v>
      </c>
      <c r="B15" t="s">
        <v>461</v>
      </c>
      <c r="C15">
        <v>71.5</v>
      </c>
      <c r="D15" s="59">
        <v>1331.04</v>
      </c>
      <c r="E15" s="59">
        <f t="shared" si="0"/>
        <v>186.34560000000002</v>
      </c>
      <c r="F15" s="59">
        <f t="shared" si="1"/>
        <v>19.300079999999998</v>
      </c>
      <c r="G15" s="59">
        <f>SUM(D15*1.3%)</f>
        <v>17.303520000000002</v>
      </c>
      <c r="H15" s="59">
        <f t="shared" si="2"/>
        <v>1553.9892</v>
      </c>
    </row>
    <row r="16" spans="1:8" x14ac:dyDescent="0.3">
      <c r="A16" s="61">
        <v>43943</v>
      </c>
      <c r="B16" t="s">
        <v>462</v>
      </c>
      <c r="C16">
        <v>4</v>
      </c>
      <c r="D16" s="59">
        <v>102.39</v>
      </c>
      <c r="E16" s="59">
        <f t="shared" si="0"/>
        <v>14.334600000000002</v>
      </c>
      <c r="F16" s="59">
        <f t="shared" si="1"/>
        <v>1.4846549999999998</v>
      </c>
      <c r="G16" s="59">
        <f>SUM(D16*1.3%)</f>
        <v>1.3310700000000002</v>
      </c>
      <c r="H16" s="59">
        <f t="shared" si="2"/>
        <v>119.54032500000001</v>
      </c>
    </row>
    <row r="17" spans="1:8" x14ac:dyDescent="0.3">
      <c r="A17" s="61">
        <v>43943</v>
      </c>
      <c r="B17" t="s">
        <v>463</v>
      </c>
      <c r="C17">
        <v>3.75</v>
      </c>
      <c r="D17" s="59">
        <v>78.75</v>
      </c>
      <c r="E17" s="59">
        <f t="shared" si="0"/>
        <v>11.025</v>
      </c>
      <c r="F17" s="59">
        <f t="shared" si="1"/>
        <v>1.141875</v>
      </c>
      <c r="G17" s="59">
        <f>SUM(D17*1.3%)</f>
        <v>1.0237500000000002</v>
      </c>
      <c r="H17" s="59">
        <f t="shared" si="2"/>
        <v>91.940625000000011</v>
      </c>
    </row>
    <row r="18" spans="1:8" x14ac:dyDescent="0.3">
      <c r="A18" s="61">
        <v>43943</v>
      </c>
      <c r="B18" t="s">
        <v>464</v>
      </c>
      <c r="C18">
        <v>60</v>
      </c>
      <c r="D18" s="59">
        <v>1077.58</v>
      </c>
      <c r="E18" s="59">
        <f t="shared" si="0"/>
        <v>150.8612</v>
      </c>
      <c r="F18" s="59">
        <f t="shared" si="1"/>
        <v>15.624909999999998</v>
      </c>
      <c r="G18" s="59">
        <f>SUM(D18*3.8%)</f>
        <v>40.948039999999999</v>
      </c>
      <c r="H18" s="59">
        <f t="shared" si="2"/>
        <v>1285.01415</v>
      </c>
    </row>
    <row r="19" spans="1:8" x14ac:dyDescent="0.3">
      <c r="A19" s="61">
        <v>43943</v>
      </c>
      <c r="B19" t="s">
        <v>465</v>
      </c>
      <c r="C19">
        <v>8</v>
      </c>
      <c r="D19" s="59">
        <v>240.07</v>
      </c>
      <c r="E19" s="59">
        <f t="shared" si="0"/>
        <v>33.6098</v>
      </c>
      <c r="F19" s="59">
        <f t="shared" si="1"/>
        <v>3.4810149999999997</v>
      </c>
      <c r="G19" s="59">
        <f>SUM(D19*1.9%)</f>
        <v>4.5613299999999999</v>
      </c>
      <c r="H19" s="59">
        <f t="shared" si="2"/>
        <v>281.72214500000001</v>
      </c>
    </row>
    <row r="20" spans="1:8" x14ac:dyDescent="0.3">
      <c r="A20" s="61">
        <v>43943</v>
      </c>
      <c r="B20" t="s">
        <v>463</v>
      </c>
      <c r="C20">
        <v>8</v>
      </c>
      <c r="D20" s="59">
        <v>126.75</v>
      </c>
      <c r="E20" s="59">
        <f t="shared" si="0"/>
        <v>17.745000000000001</v>
      </c>
      <c r="F20" s="59">
        <f t="shared" si="1"/>
        <v>1.8378749999999999</v>
      </c>
      <c r="G20" s="59">
        <f>SUM(D20*1.3%)</f>
        <v>1.64775</v>
      </c>
      <c r="H20" s="59">
        <f t="shared" si="2"/>
        <v>147.980625</v>
      </c>
    </row>
    <row r="21" spans="1:8" x14ac:dyDescent="0.3">
      <c r="A21" s="61">
        <v>43943</v>
      </c>
      <c r="B21" t="s">
        <v>461</v>
      </c>
      <c r="C21">
        <v>8</v>
      </c>
      <c r="D21" s="59">
        <v>123.24</v>
      </c>
      <c r="E21" s="59">
        <f t="shared" si="0"/>
        <v>17.253600000000002</v>
      </c>
      <c r="F21" s="59">
        <f t="shared" si="1"/>
        <v>1.7869799999999998</v>
      </c>
      <c r="G21" s="59">
        <f>SUM(D21*1.3%)</f>
        <v>1.60212</v>
      </c>
      <c r="H21" s="59">
        <f t="shared" si="2"/>
        <v>143.8827</v>
      </c>
    </row>
    <row r="22" spans="1:8" x14ac:dyDescent="0.3">
      <c r="A22" s="61">
        <v>43943</v>
      </c>
      <c r="B22" t="s">
        <v>462</v>
      </c>
      <c r="C22">
        <v>68.75</v>
      </c>
      <c r="D22" s="59">
        <v>1124.52</v>
      </c>
      <c r="E22" s="59">
        <f t="shared" si="0"/>
        <v>157.43280000000001</v>
      </c>
      <c r="F22" s="59">
        <f t="shared" si="1"/>
        <v>16.305539999999997</v>
      </c>
      <c r="G22" s="59">
        <f>SUM(D22*2%)</f>
        <v>22.490400000000001</v>
      </c>
      <c r="H22" s="59">
        <f t="shared" si="2"/>
        <v>1320.74874</v>
      </c>
    </row>
    <row r="23" spans="1:8" x14ac:dyDescent="0.3">
      <c r="A23" s="61">
        <v>43943</v>
      </c>
      <c r="B23" t="s">
        <v>463</v>
      </c>
      <c r="C23">
        <v>16</v>
      </c>
      <c r="D23" s="59">
        <v>244.76</v>
      </c>
      <c r="E23" s="59">
        <f t="shared" si="0"/>
        <v>34.266400000000004</v>
      </c>
      <c r="F23" s="59">
        <f t="shared" si="1"/>
        <v>3.5490199999999996</v>
      </c>
      <c r="G23" s="59">
        <f>SUM(D23*1.3%)</f>
        <v>3.18188</v>
      </c>
      <c r="H23" s="59">
        <f t="shared" si="2"/>
        <v>285.75729999999993</v>
      </c>
    </row>
    <row r="24" spans="1:8" x14ac:dyDescent="0.3">
      <c r="A24" s="61">
        <v>43943</v>
      </c>
      <c r="B24" t="s">
        <v>459</v>
      </c>
      <c r="C24">
        <v>12</v>
      </c>
      <c r="D24" s="59">
        <v>197.28</v>
      </c>
      <c r="E24" s="59">
        <f t="shared" si="0"/>
        <v>27.619200000000003</v>
      </c>
      <c r="F24" s="59">
        <f t="shared" si="1"/>
        <v>2.86056</v>
      </c>
      <c r="G24" s="59">
        <f>SUM(D24*2%)</f>
        <v>3.9456000000000002</v>
      </c>
      <c r="H24" s="59">
        <f t="shared" si="2"/>
        <v>231.70536000000001</v>
      </c>
    </row>
    <row r="25" spans="1:8" x14ac:dyDescent="0.3">
      <c r="A25" s="61">
        <v>43957</v>
      </c>
      <c r="B25" t="s">
        <v>460</v>
      </c>
      <c r="C25">
        <v>146.5</v>
      </c>
      <c r="D25" s="59">
        <v>2369.2199999999998</v>
      </c>
      <c r="E25" s="59">
        <f t="shared" si="0"/>
        <v>331.69080000000002</v>
      </c>
      <c r="F25" s="59">
        <f t="shared" si="1"/>
        <v>34.353689999999993</v>
      </c>
      <c r="G25" s="59">
        <f>SUM(D25*1.5%)</f>
        <v>35.538299999999992</v>
      </c>
      <c r="H25" s="59">
        <f t="shared" si="2"/>
        <v>2770.8027899999997</v>
      </c>
    </row>
    <row r="26" spans="1:8" x14ac:dyDescent="0.3">
      <c r="A26" s="61">
        <v>43957</v>
      </c>
      <c r="B26" t="s">
        <v>466</v>
      </c>
      <c r="C26">
        <v>14.75</v>
      </c>
      <c r="D26" s="59">
        <v>351.99</v>
      </c>
      <c r="E26" s="59">
        <f t="shared" si="0"/>
        <v>49.278600000000004</v>
      </c>
      <c r="F26" s="59">
        <f t="shared" si="1"/>
        <v>5.1038549999999994</v>
      </c>
      <c r="G26" s="59">
        <f>SUM(D26*2.9%)</f>
        <v>10.207709999999999</v>
      </c>
      <c r="H26" s="59">
        <f t="shared" si="2"/>
        <v>416.58016500000002</v>
      </c>
    </row>
    <row r="27" spans="1:8" x14ac:dyDescent="0.3">
      <c r="A27" s="61">
        <v>43957</v>
      </c>
      <c r="B27" t="s">
        <v>461</v>
      </c>
      <c r="C27">
        <v>93.75</v>
      </c>
      <c r="D27" s="59">
        <v>1756.66</v>
      </c>
      <c r="E27" s="59">
        <f t="shared" si="0"/>
        <v>245.93240000000003</v>
      </c>
      <c r="F27" s="59">
        <f t="shared" si="1"/>
        <v>25.47157</v>
      </c>
      <c r="G27" s="59">
        <f>SUM(D27*2%)</f>
        <v>35.133200000000002</v>
      </c>
      <c r="H27" s="59">
        <f t="shared" si="2"/>
        <v>2063.1971699999999</v>
      </c>
    </row>
    <row r="28" spans="1:8" x14ac:dyDescent="0.3">
      <c r="A28" s="61">
        <v>43957</v>
      </c>
      <c r="B28" t="s">
        <v>462</v>
      </c>
      <c r="C28">
        <v>3.75</v>
      </c>
      <c r="D28" s="59">
        <v>95.99</v>
      </c>
      <c r="E28" s="59">
        <f t="shared" si="0"/>
        <v>13.438600000000001</v>
      </c>
      <c r="F28" s="59">
        <f t="shared" si="1"/>
        <v>1.3918549999999998</v>
      </c>
      <c r="G28" s="59">
        <f>SUM(D28*1.3%)</f>
        <v>1.24787</v>
      </c>
      <c r="H28" s="59">
        <f t="shared" si="2"/>
        <v>112.068325</v>
      </c>
    </row>
    <row r="29" spans="1:8" x14ac:dyDescent="0.3">
      <c r="A29" s="61">
        <v>43957</v>
      </c>
      <c r="B29" t="s">
        <v>463</v>
      </c>
      <c r="C29">
        <v>8</v>
      </c>
      <c r="D29" s="59">
        <v>167.99</v>
      </c>
      <c r="E29" s="59">
        <f t="shared" si="0"/>
        <v>23.518600000000003</v>
      </c>
      <c r="F29" s="59">
        <f t="shared" si="1"/>
        <v>2.4358550000000001</v>
      </c>
      <c r="G29" s="59">
        <f>SUM(D29*1.3%)</f>
        <v>2.1838700000000002</v>
      </c>
      <c r="H29" s="59">
        <f t="shared" si="2"/>
        <v>196.12832500000002</v>
      </c>
    </row>
    <row r="30" spans="1:8" x14ac:dyDescent="0.3">
      <c r="A30" s="61">
        <v>43957</v>
      </c>
      <c r="B30" t="s">
        <v>464</v>
      </c>
      <c r="C30">
        <v>57.75</v>
      </c>
      <c r="D30" s="59">
        <v>1065.68</v>
      </c>
      <c r="E30" s="59">
        <f t="shared" si="0"/>
        <v>149.19520000000003</v>
      </c>
      <c r="F30" s="59">
        <f t="shared" si="1"/>
        <v>15.452360000000001</v>
      </c>
      <c r="G30" s="59">
        <f>SUM(D30*3.8%)</f>
        <v>40.495840000000001</v>
      </c>
      <c r="H30" s="59">
        <f t="shared" si="2"/>
        <v>1270.8234000000002</v>
      </c>
    </row>
    <row r="31" spans="1:8" x14ac:dyDescent="0.3">
      <c r="A31" s="61">
        <v>43957</v>
      </c>
      <c r="B31" t="s">
        <v>465</v>
      </c>
      <c r="C31">
        <v>8</v>
      </c>
      <c r="D31" s="59">
        <v>240.07</v>
      </c>
      <c r="E31" s="59">
        <f t="shared" si="0"/>
        <v>33.6098</v>
      </c>
      <c r="F31" s="59">
        <f t="shared" si="1"/>
        <v>3.4810149999999997</v>
      </c>
      <c r="G31" s="59">
        <f>SUM(D31*1.9%)</f>
        <v>4.5613299999999999</v>
      </c>
      <c r="H31" s="59">
        <f t="shared" si="2"/>
        <v>281.72214500000001</v>
      </c>
    </row>
    <row r="32" spans="1:8" x14ac:dyDescent="0.3">
      <c r="A32" s="61">
        <v>43957</v>
      </c>
      <c r="B32" t="s">
        <v>463</v>
      </c>
      <c r="C32">
        <v>8</v>
      </c>
      <c r="D32" s="59">
        <v>126.75</v>
      </c>
      <c r="E32" s="59">
        <f t="shared" si="0"/>
        <v>17.745000000000001</v>
      </c>
      <c r="F32" s="59">
        <f t="shared" si="1"/>
        <v>1.8378749999999999</v>
      </c>
      <c r="G32" s="59">
        <f>SUM(D32*2%)</f>
        <v>2.5350000000000001</v>
      </c>
      <c r="H32" s="59">
        <f t="shared" si="2"/>
        <v>148.867875</v>
      </c>
    </row>
    <row r="33" spans="1:8" x14ac:dyDescent="0.3">
      <c r="A33" s="61">
        <v>43957</v>
      </c>
      <c r="B33" t="s">
        <v>461</v>
      </c>
      <c r="C33">
        <v>6</v>
      </c>
      <c r="D33" s="59">
        <v>92.43</v>
      </c>
      <c r="E33" s="59">
        <f t="shared" si="0"/>
        <v>12.940200000000003</v>
      </c>
      <c r="F33" s="59">
        <f t="shared" si="1"/>
        <v>1.3402350000000001</v>
      </c>
      <c r="G33" s="59">
        <f>SUM(D33*1.3%)</f>
        <v>1.2015900000000002</v>
      </c>
      <c r="H33" s="59">
        <f t="shared" si="2"/>
        <v>107.91202500000001</v>
      </c>
    </row>
    <row r="34" spans="1:8" x14ac:dyDescent="0.3">
      <c r="A34" s="61">
        <v>43957</v>
      </c>
      <c r="B34" t="s">
        <v>462</v>
      </c>
      <c r="C34">
        <v>55</v>
      </c>
      <c r="D34" s="59">
        <v>854.74</v>
      </c>
      <c r="E34" s="59">
        <f t="shared" si="0"/>
        <v>119.66360000000002</v>
      </c>
      <c r="F34" s="59">
        <f t="shared" si="1"/>
        <v>12.39373</v>
      </c>
      <c r="G34" s="59">
        <f>SUM(D34*1.3%)</f>
        <v>11.11162</v>
      </c>
      <c r="H34" s="59">
        <f t="shared" si="2"/>
        <v>997.90895</v>
      </c>
    </row>
    <row r="35" spans="1:8" x14ac:dyDescent="0.3">
      <c r="A35" s="61">
        <v>43957</v>
      </c>
      <c r="B35" t="s">
        <v>463</v>
      </c>
      <c r="C35">
        <v>16</v>
      </c>
      <c r="D35" s="59">
        <v>244.76</v>
      </c>
      <c r="E35" s="59">
        <f t="shared" si="0"/>
        <v>34.266400000000004</v>
      </c>
      <c r="F35" s="59">
        <f t="shared" si="1"/>
        <v>3.5490199999999996</v>
      </c>
      <c r="G35" s="59">
        <f>SUM(D35*1.5%)</f>
        <v>3.6713999999999998</v>
      </c>
      <c r="H35" s="59">
        <f t="shared" si="2"/>
        <v>286.24681999999996</v>
      </c>
    </row>
    <row r="36" spans="1:8" x14ac:dyDescent="0.3">
      <c r="A36" s="61">
        <v>43957</v>
      </c>
      <c r="B36" t="s">
        <v>459</v>
      </c>
      <c r="C36">
        <v>16</v>
      </c>
      <c r="D36" s="59">
        <v>277.43</v>
      </c>
      <c r="E36" s="59">
        <f t="shared" si="0"/>
        <v>38.840200000000003</v>
      </c>
      <c r="F36" s="59">
        <f t="shared" si="1"/>
        <v>4.0227349999999999</v>
      </c>
      <c r="G36" s="59">
        <f>SUM(D36*2%)</f>
        <v>5.5486000000000004</v>
      </c>
      <c r="H36" s="59">
        <f t="shared" si="2"/>
        <v>325.84153500000002</v>
      </c>
    </row>
    <row r="37" spans="1:8" x14ac:dyDescent="0.3">
      <c r="A37" s="61">
        <v>43971</v>
      </c>
      <c r="B37" t="s">
        <v>460</v>
      </c>
      <c r="C37">
        <v>150</v>
      </c>
      <c r="D37" s="59">
        <v>2423.64</v>
      </c>
      <c r="E37" s="59">
        <f t="shared" si="0"/>
        <v>339.30959999999999</v>
      </c>
      <c r="F37" s="59">
        <f t="shared" si="1"/>
        <v>35.142779999999995</v>
      </c>
      <c r="G37" s="59">
        <f>SUM(D37*1.5%)</f>
        <v>36.354599999999998</v>
      </c>
      <c r="H37" s="59">
        <f t="shared" si="2"/>
        <v>2834.4469800000002</v>
      </c>
    </row>
    <row r="38" spans="1:8" x14ac:dyDescent="0.3">
      <c r="A38" s="61">
        <v>43971</v>
      </c>
      <c r="B38" t="s">
        <v>461</v>
      </c>
      <c r="C38">
        <v>83.5</v>
      </c>
      <c r="D38" s="59">
        <v>1541.46</v>
      </c>
      <c r="E38" s="59">
        <f t="shared" si="0"/>
        <v>215.80440000000002</v>
      </c>
      <c r="F38" s="59">
        <f t="shared" si="1"/>
        <v>22.35117</v>
      </c>
      <c r="G38" s="59">
        <f>SUM(D38*1.3%)</f>
        <v>20.038980000000002</v>
      </c>
      <c r="H38" s="59">
        <f t="shared" si="2"/>
        <v>1799.65455</v>
      </c>
    </row>
    <row r="39" spans="1:8" x14ac:dyDescent="0.3">
      <c r="A39" s="61">
        <v>43971</v>
      </c>
      <c r="B39" t="s">
        <v>463</v>
      </c>
      <c r="C39">
        <v>24</v>
      </c>
      <c r="D39" s="59">
        <v>412.75</v>
      </c>
      <c r="E39" s="59">
        <f t="shared" si="0"/>
        <v>57.785000000000004</v>
      </c>
      <c r="F39" s="59">
        <f t="shared" si="1"/>
        <v>5.9848749999999997</v>
      </c>
      <c r="G39" s="59">
        <f>SUM(D39*1.3%)</f>
        <v>5.3657500000000002</v>
      </c>
      <c r="H39" s="59">
        <f t="shared" si="2"/>
        <v>481.885625</v>
      </c>
    </row>
    <row r="40" spans="1:8" x14ac:dyDescent="0.3">
      <c r="A40" s="61">
        <v>43971</v>
      </c>
      <c r="B40" t="s">
        <v>464</v>
      </c>
      <c r="C40">
        <v>64.5</v>
      </c>
      <c r="D40" s="59">
        <v>1153.76</v>
      </c>
      <c r="E40" s="59">
        <f t="shared" si="0"/>
        <v>161.52640000000002</v>
      </c>
      <c r="F40" s="59">
        <f t="shared" si="1"/>
        <v>16.729519999999997</v>
      </c>
      <c r="G40" s="59">
        <f>SUM(D40*3.8%)</f>
        <v>43.842880000000001</v>
      </c>
      <c r="H40" s="59">
        <f t="shared" si="2"/>
        <v>1375.8588</v>
      </c>
    </row>
    <row r="41" spans="1:8" x14ac:dyDescent="0.3">
      <c r="A41" s="61">
        <v>43971</v>
      </c>
      <c r="B41" t="s">
        <v>465</v>
      </c>
      <c r="C41">
        <v>5.5</v>
      </c>
      <c r="D41" s="59">
        <v>165.05</v>
      </c>
      <c r="E41" s="59">
        <f t="shared" si="0"/>
        <v>23.107000000000003</v>
      </c>
      <c r="F41" s="59">
        <f t="shared" si="1"/>
        <v>2.3932250000000002</v>
      </c>
      <c r="G41" s="59">
        <f>SUM(D41*1.9%)</f>
        <v>3.1359500000000002</v>
      </c>
      <c r="H41" s="59">
        <f t="shared" si="2"/>
        <v>193.68617500000002</v>
      </c>
    </row>
    <row r="42" spans="1:8" x14ac:dyDescent="0.3">
      <c r="A42" s="61">
        <v>43971</v>
      </c>
      <c r="B42" t="s">
        <v>463</v>
      </c>
      <c r="C42">
        <v>8</v>
      </c>
      <c r="D42" s="59">
        <v>126.75</v>
      </c>
      <c r="E42" s="59">
        <f t="shared" si="0"/>
        <v>17.745000000000001</v>
      </c>
      <c r="F42" s="59">
        <f t="shared" si="1"/>
        <v>1.8378749999999999</v>
      </c>
      <c r="G42" s="59">
        <f>SUM(D42*2%)</f>
        <v>2.5350000000000001</v>
      </c>
      <c r="H42" s="59">
        <f t="shared" si="2"/>
        <v>148.867875</v>
      </c>
    </row>
    <row r="43" spans="1:8" x14ac:dyDescent="0.3">
      <c r="A43" s="61">
        <v>43971</v>
      </c>
      <c r="B43" t="s">
        <v>462</v>
      </c>
      <c r="C43">
        <v>40.25</v>
      </c>
      <c r="D43" s="59">
        <v>648.25</v>
      </c>
      <c r="E43" s="59">
        <f t="shared" si="0"/>
        <v>90.75500000000001</v>
      </c>
      <c r="F43" s="59">
        <f t="shared" si="1"/>
        <v>9.3996249999999986</v>
      </c>
      <c r="G43" s="59">
        <f>SUM(D43*1.3%)</f>
        <v>8.4272500000000008</v>
      </c>
      <c r="H43" s="59">
        <f t="shared" si="2"/>
        <v>756.83187499999997</v>
      </c>
    </row>
    <row r="44" spans="1:8" x14ac:dyDescent="0.3">
      <c r="A44" s="61">
        <v>43971</v>
      </c>
      <c r="B44" t="s">
        <v>459</v>
      </c>
      <c r="C44">
        <v>13.25</v>
      </c>
      <c r="D44" s="59">
        <v>237.16</v>
      </c>
      <c r="E44" s="59">
        <f t="shared" si="0"/>
        <v>33.202400000000004</v>
      </c>
      <c r="F44" s="59">
        <f t="shared" si="1"/>
        <v>3.4388199999999998</v>
      </c>
      <c r="G44" s="59">
        <f>SUM(D44*2%)</f>
        <v>4.7431999999999999</v>
      </c>
      <c r="H44" s="59">
        <f t="shared" si="2"/>
        <v>278.54442</v>
      </c>
    </row>
    <row r="45" spans="1:8" x14ac:dyDescent="0.3">
      <c r="A45" s="61">
        <v>43985</v>
      </c>
      <c r="B45" t="s">
        <v>460</v>
      </c>
      <c r="C45">
        <v>160</v>
      </c>
      <c r="D45" s="59">
        <v>2608.7199999999998</v>
      </c>
      <c r="E45" s="59">
        <f t="shared" si="0"/>
        <v>365.2208</v>
      </c>
      <c r="F45" s="59">
        <f t="shared" si="1"/>
        <v>37.826439999999991</v>
      </c>
      <c r="G45" s="59">
        <f>SUM(D45*1.5%)</f>
        <v>39.130799999999994</v>
      </c>
      <c r="H45" s="59">
        <f t="shared" si="2"/>
        <v>3050.8980399999996</v>
      </c>
    </row>
    <row r="46" spans="1:8" x14ac:dyDescent="0.3">
      <c r="A46" s="61">
        <v>43985</v>
      </c>
      <c r="B46" t="s">
        <v>461</v>
      </c>
      <c r="C46">
        <v>80.5</v>
      </c>
      <c r="D46" s="59">
        <v>1484.36</v>
      </c>
      <c r="E46" s="59">
        <f t="shared" si="0"/>
        <v>207.81040000000002</v>
      </c>
      <c r="F46" s="59">
        <f t="shared" si="1"/>
        <v>21.523219999999998</v>
      </c>
      <c r="G46" s="59">
        <f>SUM(D46*1.3%)</f>
        <v>19.296680000000002</v>
      </c>
      <c r="H46" s="59">
        <f t="shared" si="2"/>
        <v>1732.9902999999999</v>
      </c>
    </row>
    <row r="47" spans="1:8" x14ac:dyDescent="0.3">
      <c r="A47" s="61">
        <v>43985</v>
      </c>
      <c r="B47" t="s">
        <v>463</v>
      </c>
      <c r="C47">
        <v>28</v>
      </c>
      <c r="D47" s="59">
        <v>455.51</v>
      </c>
      <c r="E47" s="59">
        <f t="shared" si="0"/>
        <v>63.771400000000007</v>
      </c>
      <c r="F47" s="59">
        <f t="shared" si="1"/>
        <v>6.6048949999999991</v>
      </c>
      <c r="G47" s="59">
        <f>SUM(D47*2%)</f>
        <v>9.1102000000000007</v>
      </c>
      <c r="H47" s="59">
        <f t="shared" si="2"/>
        <v>534.99649499999998</v>
      </c>
    </row>
    <row r="48" spans="1:8" x14ac:dyDescent="0.3">
      <c r="A48" s="61">
        <v>43985</v>
      </c>
      <c r="B48" t="s">
        <v>464</v>
      </c>
      <c r="C48">
        <v>68</v>
      </c>
      <c r="D48" s="59">
        <v>1255.42</v>
      </c>
      <c r="E48" s="59">
        <f t="shared" si="0"/>
        <v>175.75880000000004</v>
      </c>
      <c r="F48" s="59">
        <f t="shared" si="1"/>
        <v>18.203589999999998</v>
      </c>
      <c r="G48" s="59">
        <f>SUM(D48*3.8%)</f>
        <v>47.705960000000005</v>
      </c>
      <c r="H48" s="59">
        <f t="shared" si="2"/>
        <v>1497.0883500000002</v>
      </c>
    </row>
    <row r="49" spans="1:8" x14ac:dyDescent="0.3">
      <c r="A49" s="61">
        <v>43985</v>
      </c>
      <c r="B49" t="s">
        <v>465</v>
      </c>
      <c r="C49">
        <v>8</v>
      </c>
      <c r="D49" s="59">
        <v>240.07</v>
      </c>
      <c r="E49" s="59">
        <f t="shared" si="0"/>
        <v>33.6098</v>
      </c>
      <c r="F49" s="59">
        <f t="shared" si="1"/>
        <v>3.4810149999999997</v>
      </c>
      <c r="G49" s="59">
        <f>SUM(D49*1.9%)</f>
        <v>4.5613299999999999</v>
      </c>
      <c r="H49" s="59">
        <f t="shared" si="2"/>
        <v>281.72214500000001</v>
      </c>
    </row>
    <row r="50" spans="1:8" x14ac:dyDescent="0.3">
      <c r="A50" s="61">
        <v>43985</v>
      </c>
      <c r="B50" t="s">
        <v>462</v>
      </c>
      <c r="C50">
        <v>55.5</v>
      </c>
      <c r="D50" s="59">
        <v>934.78</v>
      </c>
      <c r="E50" s="59">
        <f t="shared" si="0"/>
        <v>130.86920000000001</v>
      </c>
      <c r="F50" s="59">
        <f t="shared" si="1"/>
        <v>13.554309999999999</v>
      </c>
      <c r="G50" s="59">
        <f>SUM(D50*2%)</f>
        <v>18.695599999999999</v>
      </c>
      <c r="H50" s="59">
        <f t="shared" si="2"/>
        <v>1097.8991100000001</v>
      </c>
    </row>
    <row r="51" spans="1:8" x14ac:dyDescent="0.3">
      <c r="A51" s="61">
        <v>43985</v>
      </c>
      <c r="B51" t="s">
        <v>459</v>
      </c>
      <c r="C51">
        <v>16</v>
      </c>
      <c r="D51" s="59">
        <v>277.43</v>
      </c>
      <c r="E51" s="59">
        <f t="shared" si="0"/>
        <v>38.840200000000003</v>
      </c>
      <c r="F51" s="59">
        <f t="shared" si="1"/>
        <v>4.0227349999999999</v>
      </c>
      <c r="G51" s="59">
        <f>SUM(D51*2%)</f>
        <v>5.5486000000000004</v>
      </c>
      <c r="H51" s="59">
        <f t="shared" si="2"/>
        <v>325.84153500000002</v>
      </c>
    </row>
    <row r="52" spans="1:8" x14ac:dyDescent="0.3">
      <c r="A52" s="61">
        <v>43999</v>
      </c>
      <c r="B52" t="s">
        <v>460</v>
      </c>
      <c r="C52">
        <v>150</v>
      </c>
      <c r="D52" s="59">
        <v>2475.4299999999998</v>
      </c>
      <c r="E52" s="59">
        <f t="shared" si="0"/>
        <v>346.56020000000001</v>
      </c>
      <c r="F52" s="59">
        <f t="shared" si="1"/>
        <v>35.893734999999992</v>
      </c>
      <c r="G52" s="59">
        <f>SUM(D52*1.5%)</f>
        <v>37.131449999999994</v>
      </c>
      <c r="H52" s="59">
        <f t="shared" si="2"/>
        <v>2895.0153849999997</v>
      </c>
    </row>
    <row r="53" spans="1:8" x14ac:dyDescent="0.3">
      <c r="A53" s="61">
        <v>43999</v>
      </c>
      <c r="B53" t="s">
        <v>461</v>
      </c>
      <c r="C53">
        <v>102</v>
      </c>
      <c r="D53" s="59">
        <v>1882.96</v>
      </c>
      <c r="E53" s="59">
        <f t="shared" si="0"/>
        <v>263.61440000000005</v>
      </c>
      <c r="F53" s="59">
        <f t="shared" si="1"/>
        <v>27.30292</v>
      </c>
      <c r="G53" s="59">
        <f>SUM(D53*1.3%)</f>
        <v>24.478480000000001</v>
      </c>
      <c r="H53" s="59">
        <f t="shared" si="2"/>
        <v>2198.3558000000003</v>
      </c>
    </row>
    <row r="54" spans="1:8" x14ac:dyDescent="0.3">
      <c r="A54" s="61">
        <v>43999</v>
      </c>
      <c r="B54" t="s">
        <v>462</v>
      </c>
      <c r="C54">
        <v>50.75</v>
      </c>
      <c r="D54" s="59">
        <v>867.51</v>
      </c>
      <c r="E54" s="59">
        <f t="shared" si="0"/>
        <v>121.45140000000001</v>
      </c>
      <c r="F54" s="59">
        <f t="shared" si="1"/>
        <v>12.578894999999999</v>
      </c>
      <c r="G54" s="59">
        <f>SUM(D54*1.3%)</f>
        <v>11.27763</v>
      </c>
      <c r="H54" s="59">
        <f t="shared" si="2"/>
        <v>1012.8179250000001</v>
      </c>
    </row>
    <row r="55" spans="1:8" x14ac:dyDescent="0.3">
      <c r="A55" s="61">
        <v>43999</v>
      </c>
      <c r="B55" t="s">
        <v>463</v>
      </c>
      <c r="C55">
        <v>23.25</v>
      </c>
      <c r="D55" s="59">
        <v>386.44</v>
      </c>
      <c r="E55" s="59">
        <f t="shared" si="0"/>
        <v>54.101600000000005</v>
      </c>
      <c r="F55" s="59">
        <f t="shared" si="1"/>
        <v>5.6033799999999996</v>
      </c>
      <c r="G55" s="59">
        <f>SUM(D55*1.3%)</f>
        <v>5.0237200000000009</v>
      </c>
      <c r="H55" s="59">
        <f t="shared" si="2"/>
        <v>451.16870000000006</v>
      </c>
    </row>
    <row r="56" spans="1:8" x14ac:dyDescent="0.3">
      <c r="A56" s="61">
        <v>43999</v>
      </c>
      <c r="B56" t="s">
        <v>464</v>
      </c>
      <c r="C56">
        <v>62.25</v>
      </c>
      <c r="D56" s="59">
        <v>1156.1400000000001</v>
      </c>
      <c r="E56" s="59">
        <f t="shared" si="0"/>
        <v>161.85960000000003</v>
      </c>
      <c r="F56" s="59">
        <f t="shared" si="1"/>
        <v>16.764030000000002</v>
      </c>
      <c r="G56" s="59">
        <f>SUM(D56*3.8%)</f>
        <v>43.933320000000002</v>
      </c>
      <c r="H56" s="59">
        <f t="shared" si="2"/>
        <v>1378.6969500000002</v>
      </c>
    </row>
    <row r="57" spans="1:8" x14ac:dyDescent="0.3">
      <c r="A57" s="61">
        <v>43999</v>
      </c>
      <c r="B57" t="s">
        <v>465</v>
      </c>
      <c r="C57">
        <v>8</v>
      </c>
      <c r="D57" s="59">
        <v>240.07</v>
      </c>
      <c r="E57" s="59">
        <f t="shared" si="0"/>
        <v>33.6098</v>
      </c>
      <c r="F57" s="59">
        <f t="shared" si="1"/>
        <v>3.4810149999999997</v>
      </c>
      <c r="G57" s="59">
        <f>SUM(D57*1.9%)</f>
        <v>4.5613299999999999</v>
      </c>
      <c r="H57" s="59">
        <f t="shared" si="2"/>
        <v>281.72214500000001</v>
      </c>
    </row>
    <row r="58" spans="1:8" x14ac:dyDescent="0.3">
      <c r="A58" s="61">
        <v>43999</v>
      </c>
      <c r="B58" t="s">
        <v>459</v>
      </c>
      <c r="C58">
        <v>16</v>
      </c>
      <c r="D58" s="59">
        <v>277.43</v>
      </c>
      <c r="E58" s="59">
        <f t="shared" si="0"/>
        <v>38.840200000000003</v>
      </c>
      <c r="F58" s="59">
        <f t="shared" si="1"/>
        <v>4.0227349999999999</v>
      </c>
      <c r="G58" s="59">
        <f>SUM(D58*2%)</f>
        <v>5.5486000000000004</v>
      </c>
      <c r="H58" s="59">
        <f t="shared" si="2"/>
        <v>325.84153500000002</v>
      </c>
    </row>
    <row r="59" spans="1:8" x14ac:dyDescent="0.3">
      <c r="A59" s="61">
        <v>44013</v>
      </c>
      <c r="B59" t="s">
        <v>460</v>
      </c>
      <c r="C59">
        <v>160</v>
      </c>
      <c r="D59" s="59">
        <v>2608.7199999999998</v>
      </c>
      <c r="E59" s="59">
        <f t="shared" si="0"/>
        <v>365.2208</v>
      </c>
      <c r="F59" s="59">
        <f t="shared" si="1"/>
        <v>37.826439999999991</v>
      </c>
      <c r="G59" s="59">
        <f>SUM(D59*1.5%)</f>
        <v>39.130799999999994</v>
      </c>
      <c r="H59" s="59">
        <f t="shared" si="2"/>
        <v>3050.8980399999996</v>
      </c>
    </row>
    <row r="60" spans="1:8" x14ac:dyDescent="0.3">
      <c r="A60" s="61">
        <v>44013</v>
      </c>
      <c r="B60" t="s">
        <v>461</v>
      </c>
      <c r="C60">
        <v>82.5</v>
      </c>
      <c r="D60" s="59">
        <v>1510.69</v>
      </c>
      <c r="E60" s="59">
        <f t="shared" si="0"/>
        <v>211.49660000000003</v>
      </c>
      <c r="F60" s="59">
        <f t="shared" si="1"/>
        <v>21.905004999999999</v>
      </c>
      <c r="G60" s="59">
        <f>SUM(D60*2%)</f>
        <v>30.213800000000003</v>
      </c>
      <c r="H60" s="59">
        <f t="shared" si="2"/>
        <v>1774.3054050000001</v>
      </c>
    </row>
    <row r="61" spans="1:8" x14ac:dyDescent="0.3">
      <c r="A61" s="61">
        <v>44013</v>
      </c>
      <c r="B61" t="s">
        <v>463</v>
      </c>
      <c r="C61">
        <v>29.25</v>
      </c>
      <c r="D61" s="59">
        <v>481.76</v>
      </c>
      <c r="E61" s="59">
        <f t="shared" si="0"/>
        <v>67.446400000000011</v>
      </c>
      <c r="F61" s="59">
        <f t="shared" si="1"/>
        <v>6.9855199999999993</v>
      </c>
      <c r="G61" s="59">
        <f>SUM(D61*1.3%)</f>
        <v>6.26288</v>
      </c>
      <c r="H61" s="59">
        <f t="shared" si="2"/>
        <v>562.45479999999998</v>
      </c>
    </row>
    <row r="62" spans="1:8" x14ac:dyDescent="0.3">
      <c r="A62" s="61">
        <v>44013</v>
      </c>
      <c r="B62" t="s">
        <v>464</v>
      </c>
      <c r="C62">
        <v>50</v>
      </c>
      <c r="D62" s="59">
        <v>915.63</v>
      </c>
      <c r="E62" s="59">
        <f t="shared" si="0"/>
        <v>128.18820000000002</v>
      </c>
      <c r="F62" s="59">
        <f t="shared" si="1"/>
        <v>13.276634999999999</v>
      </c>
      <c r="G62" s="59">
        <f>SUM(D62*3.8%)</f>
        <v>34.793939999999999</v>
      </c>
      <c r="H62" s="59">
        <f t="shared" si="2"/>
        <v>1091.8887749999999</v>
      </c>
    </row>
    <row r="63" spans="1:8" x14ac:dyDescent="0.3">
      <c r="A63" s="61">
        <v>44013</v>
      </c>
      <c r="B63" t="s">
        <v>465</v>
      </c>
      <c r="C63">
        <v>8</v>
      </c>
      <c r="D63" s="59">
        <v>240.07</v>
      </c>
      <c r="E63" s="59">
        <f t="shared" si="0"/>
        <v>33.6098</v>
      </c>
      <c r="F63" s="59">
        <f t="shared" si="1"/>
        <v>3.4810149999999997</v>
      </c>
      <c r="G63" s="59">
        <f>SUM(D63*1.9%)</f>
        <v>4.5613299999999999</v>
      </c>
      <c r="H63" s="59">
        <f t="shared" si="2"/>
        <v>281.72214500000001</v>
      </c>
    </row>
    <row r="64" spans="1:8" x14ac:dyDescent="0.3">
      <c r="A64" s="61">
        <v>44013</v>
      </c>
      <c r="B64" t="s">
        <v>462</v>
      </c>
      <c r="C64">
        <v>41</v>
      </c>
      <c r="D64" s="59">
        <v>703.89</v>
      </c>
      <c r="E64" s="59">
        <f t="shared" si="0"/>
        <v>98.544600000000003</v>
      </c>
      <c r="F64" s="59">
        <f t="shared" si="1"/>
        <v>10.206404999999998</v>
      </c>
      <c r="G64" s="59">
        <f>SUM(D64*1.3%)</f>
        <v>9.1505700000000001</v>
      </c>
      <c r="H64" s="59">
        <f t="shared" si="2"/>
        <v>821.79157500000008</v>
      </c>
    </row>
    <row r="65" spans="1:8" x14ac:dyDescent="0.3">
      <c r="A65" s="61">
        <v>44013</v>
      </c>
      <c r="B65" t="s">
        <v>459</v>
      </c>
      <c r="C65">
        <v>10.25</v>
      </c>
      <c r="D65" s="59">
        <v>178.39</v>
      </c>
      <c r="E65" s="59">
        <f t="shared" si="0"/>
        <v>24.974599999999999</v>
      </c>
      <c r="F65" s="59">
        <f t="shared" si="1"/>
        <v>2.5866549999999995</v>
      </c>
      <c r="G65" s="59">
        <f>SUM(D65*2%)</f>
        <v>3.5677999999999996</v>
      </c>
      <c r="H65" s="59">
        <f t="shared" si="2"/>
        <v>209.51905500000001</v>
      </c>
    </row>
    <row r="66" spans="1:8" x14ac:dyDescent="0.3">
      <c r="A66" s="61">
        <v>44027</v>
      </c>
      <c r="B66" t="s">
        <v>460</v>
      </c>
      <c r="C66">
        <v>140</v>
      </c>
      <c r="D66" s="59">
        <v>2345.4699999999998</v>
      </c>
      <c r="E66" s="59">
        <f t="shared" si="0"/>
        <v>328.36579999999998</v>
      </c>
      <c r="F66" s="59">
        <f t="shared" si="1"/>
        <v>34.009314999999994</v>
      </c>
      <c r="G66" s="59">
        <f>SUM(D66*1.5%)</f>
        <v>35.182049999999997</v>
      </c>
      <c r="H66" s="59">
        <f t="shared" si="2"/>
        <v>2743.0271649999995</v>
      </c>
    </row>
    <row r="67" spans="1:8" x14ac:dyDescent="0.3">
      <c r="A67" s="61">
        <v>44027</v>
      </c>
      <c r="B67" t="s">
        <v>461</v>
      </c>
      <c r="C67">
        <v>43.75</v>
      </c>
      <c r="D67" s="59">
        <v>818.52</v>
      </c>
      <c r="E67" s="59">
        <f t="shared" si="0"/>
        <v>114.59280000000001</v>
      </c>
      <c r="F67" s="59">
        <f t="shared" si="1"/>
        <v>11.868539999999999</v>
      </c>
      <c r="G67" s="59">
        <f>SUM(D67*1.3%)</f>
        <v>10.64076</v>
      </c>
      <c r="H67" s="59">
        <f t="shared" si="2"/>
        <v>955.62210000000005</v>
      </c>
    </row>
    <row r="68" spans="1:8" x14ac:dyDescent="0.3">
      <c r="A68" s="61">
        <v>44027</v>
      </c>
      <c r="B68" t="s">
        <v>463</v>
      </c>
      <c r="C68">
        <v>12</v>
      </c>
      <c r="D68" s="59">
        <v>216.43</v>
      </c>
      <c r="E68" s="59">
        <f t="shared" si="0"/>
        <v>30.300200000000004</v>
      </c>
      <c r="F68" s="59">
        <f t="shared" si="1"/>
        <v>3.1382349999999999</v>
      </c>
      <c r="G68" s="59">
        <f>SUM(D68*1.3%)</f>
        <v>2.8135900000000005</v>
      </c>
      <c r="H68" s="59">
        <f t="shared" si="2"/>
        <v>252.68202500000004</v>
      </c>
    </row>
    <row r="69" spans="1:8" x14ac:dyDescent="0.3">
      <c r="A69" s="61">
        <v>44027</v>
      </c>
      <c r="B69" t="s">
        <v>464</v>
      </c>
      <c r="C69">
        <v>31.75</v>
      </c>
      <c r="D69" s="59">
        <v>593.79</v>
      </c>
      <c r="E69" s="59">
        <f t="shared" si="0"/>
        <v>83.130600000000001</v>
      </c>
      <c r="F69" s="59">
        <f t="shared" si="1"/>
        <v>8.6099549999999994</v>
      </c>
      <c r="G69" s="59">
        <f>SUM(D69*3.8%)</f>
        <v>22.564019999999999</v>
      </c>
      <c r="H69" s="59">
        <f t="shared" si="2"/>
        <v>708.09457499999996</v>
      </c>
    </row>
    <row r="70" spans="1:8" x14ac:dyDescent="0.3">
      <c r="A70" s="61">
        <v>44027</v>
      </c>
      <c r="B70" t="s">
        <v>465</v>
      </c>
      <c r="C70">
        <v>4</v>
      </c>
      <c r="D70" s="59">
        <v>120.03</v>
      </c>
      <c r="E70" s="59">
        <f t="shared" si="0"/>
        <v>16.804200000000002</v>
      </c>
      <c r="F70" s="59">
        <f t="shared" si="1"/>
        <v>1.740435</v>
      </c>
      <c r="G70" s="59">
        <f>SUM(D70*1.9%)</f>
        <v>2.28057</v>
      </c>
      <c r="H70" s="59">
        <f t="shared" si="2"/>
        <v>140.85520500000001</v>
      </c>
    </row>
    <row r="71" spans="1:8" x14ac:dyDescent="0.3">
      <c r="A71" s="61">
        <v>44027</v>
      </c>
      <c r="B71" t="s">
        <v>462</v>
      </c>
      <c r="C71">
        <v>26.5</v>
      </c>
      <c r="D71" s="59">
        <v>456.22</v>
      </c>
      <c r="E71" s="59">
        <f t="shared" si="0"/>
        <v>63.87080000000001</v>
      </c>
      <c r="F71" s="59">
        <f t="shared" si="1"/>
        <v>6.6151900000000001</v>
      </c>
      <c r="G71" s="59">
        <f>SUM(D71*1.3%)</f>
        <v>5.9308600000000009</v>
      </c>
      <c r="H71" s="59">
        <f t="shared" si="2"/>
        <v>532.63685000000009</v>
      </c>
    </row>
    <row r="72" spans="1:8" x14ac:dyDescent="0.3">
      <c r="A72" s="61">
        <v>44027</v>
      </c>
      <c r="B72" t="s">
        <v>459</v>
      </c>
      <c r="C72">
        <v>4</v>
      </c>
      <c r="D72" s="59">
        <v>80.150000000000006</v>
      </c>
      <c r="E72" s="59">
        <f t="shared" si="0"/>
        <v>11.221000000000002</v>
      </c>
      <c r="F72" s="59">
        <f t="shared" si="1"/>
        <v>1.162175</v>
      </c>
      <c r="G72" s="59">
        <f t="shared" ref="G72:G93" si="3">SUM(D72*2%)</f>
        <v>1.6030000000000002</v>
      </c>
      <c r="H72" s="59">
        <f t="shared" si="2"/>
        <v>94.136175000000009</v>
      </c>
    </row>
    <row r="73" spans="1:8" x14ac:dyDescent="0.3">
      <c r="A73" s="61">
        <v>44041</v>
      </c>
      <c r="B73" t="s">
        <v>460</v>
      </c>
      <c r="C73">
        <v>150</v>
      </c>
      <c r="D73" s="59">
        <v>2482.6999999999998</v>
      </c>
      <c r="E73" s="59">
        <f t="shared" si="0"/>
        <v>347.57800000000003</v>
      </c>
      <c r="F73" s="59">
        <f t="shared" si="1"/>
        <v>35.999149999999993</v>
      </c>
      <c r="G73" s="59">
        <f>SUM(D73*1.5%)</f>
        <v>37.240499999999997</v>
      </c>
      <c r="H73" s="59">
        <f t="shared" si="2"/>
        <v>2903.5176499999998</v>
      </c>
    </row>
    <row r="74" spans="1:8" x14ac:dyDescent="0.3">
      <c r="A74" s="61">
        <v>44041</v>
      </c>
      <c r="B74" t="s">
        <v>461</v>
      </c>
      <c r="C74">
        <v>88.75</v>
      </c>
      <c r="D74" s="59">
        <f>1558.96+61.62</f>
        <v>1620.58</v>
      </c>
      <c r="E74" s="59">
        <f t="shared" si="0"/>
        <v>226.88120000000001</v>
      </c>
      <c r="F74" s="59">
        <f t="shared" si="1"/>
        <v>23.498409999999996</v>
      </c>
      <c r="G74" s="59">
        <f>SUM(D74*2%)</f>
        <v>32.4116</v>
      </c>
      <c r="H74" s="59">
        <f t="shared" si="2"/>
        <v>1903.3712099999998</v>
      </c>
    </row>
    <row r="75" spans="1:8" x14ac:dyDescent="0.3">
      <c r="A75" s="61">
        <v>44041</v>
      </c>
      <c r="B75" t="s">
        <v>463</v>
      </c>
      <c r="C75">
        <f>11.25+12</f>
        <v>23.25</v>
      </c>
      <c r="D75" s="59">
        <f>195+175.69</f>
        <v>370.69</v>
      </c>
      <c r="E75" s="59">
        <f t="shared" si="0"/>
        <v>51.896600000000007</v>
      </c>
      <c r="F75" s="59">
        <f t="shared" si="1"/>
        <v>5.3750049999999998</v>
      </c>
      <c r="G75" s="59">
        <f>SUM(D75*1.3%)</f>
        <v>4.8189700000000002</v>
      </c>
      <c r="H75" s="59">
        <f t="shared" si="2"/>
        <v>432.78057499999994</v>
      </c>
    </row>
    <row r="76" spans="1:8" x14ac:dyDescent="0.3">
      <c r="A76" s="61">
        <v>44041</v>
      </c>
      <c r="B76" t="s">
        <v>464</v>
      </c>
      <c r="C76">
        <v>54.5</v>
      </c>
      <c r="D76" s="59">
        <v>1013.67</v>
      </c>
      <c r="E76" s="59">
        <f t="shared" si="0"/>
        <v>141.91380000000001</v>
      </c>
      <c r="F76" s="59">
        <f t="shared" si="1"/>
        <v>14.698214999999998</v>
      </c>
      <c r="G76" s="59">
        <f>SUM(D76*3.8%)</f>
        <v>38.519459999999995</v>
      </c>
      <c r="H76" s="59">
        <f t="shared" si="2"/>
        <v>1208.8014749999998</v>
      </c>
    </row>
    <row r="77" spans="1:8" x14ac:dyDescent="0.3">
      <c r="A77" s="61">
        <v>44041</v>
      </c>
      <c r="B77" t="s">
        <v>465</v>
      </c>
      <c r="C77">
        <v>8</v>
      </c>
      <c r="D77" s="59">
        <v>240.07</v>
      </c>
      <c r="E77" s="59">
        <f t="shared" si="0"/>
        <v>33.6098</v>
      </c>
      <c r="F77" s="59">
        <f t="shared" si="1"/>
        <v>3.4810149999999997</v>
      </c>
      <c r="G77" s="59">
        <f>SUM(D77*1.9%)</f>
        <v>4.5613299999999999</v>
      </c>
      <c r="H77" s="59">
        <f t="shared" si="2"/>
        <v>281.72214500000001</v>
      </c>
    </row>
    <row r="78" spans="1:8" x14ac:dyDescent="0.3">
      <c r="A78" s="61">
        <v>44041</v>
      </c>
      <c r="B78" t="s">
        <v>462</v>
      </c>
      <c r="C78">
        <f>8+51.25</f>
        <v>59.25</v>
      </c>
      <c r="D78" s="59">
        <f>207.85+864.38</f>
        <v>1072.23</v>
      </c>
      <c r="E78" s="59">
        <f t="shared" ref="E78" si="4">SUM(D78*14%)</f>
        <v>150.11220000000003</v>
      </c>
      <c r="F78" s="59">
        <f t="shared" ref="F78" si="5">SUM(D78*1.45%)</f>
        <v>15.547334999999999</v>
      </c>
      <c r="G78" s="59">
        <f>SUM(D78*1.3%)</f>
        <v>13.938990000000002</v>
      </c>
      <c r="H78" s="59">
        <f t="shared" si="2"/>
        <v>1251.8285250000001</v>
      </c>
    </row>
    <row r="79" spans="1:8" x14ac:dyDescent="0.3">
      <c r="A79" s="61">
        <v>44041</v>
      </c>
      <c r="B79" t="s">
        <v>459</v>
      </c>
      <c r="C79">
        <v>8</v>
      </c>
      <c r="D79" s="59">
        <v>160.30000000000001</v>
      </c>
      <c r="E79" s="59">
        <f t="shared" ref="E79:E93" si="6">SUM(D79*14%)</f>
        <v>22.442000000000004</v>
      </c>
      <c r="F79" s="59">
        <f t="shared" ref="F79:F93" si="7">SUM(D79*1.45%)</f>
        <v>2.3243499999999999</v>
      </c>
      <c r="G79" s="59">
        <f t="shared" si="3"/>
        <v>3.2060000000000004</v>
      </c>
      <c r="H79" s="59">
        <f t="shared" si="2"/>
        <v>188.27235000000002</v>
      </c>
    </row>
    <row r="80" spans="1:8" x14ac:dyDescent="0.3">
      <c r="A80" s="61">
        <v>44055</v>
      </c>
      <c r="B80" t="s">
        <v>460</v>
      </c>
      <c r="C80">
        <v>150</v>
      </c>
      <c r="D80" s="59">
        <v>2486.2199999999998</v>
      </c>
      <c r="E80" s="59">
        <f t="shared" si="6"/>
        <v>348.07080000000002</v>
      </c>
      <c r="F80" s="59">
        <f t="shared" si="7"/>
        <v>36.050189999999994</v>
      </c>
      <c r="G80" s="59">
        <f>SUM(D80*1.5%)</f>
        <v>37.293299999999995</v>
      </c>
      <c r="H80" s="59">
        <f t="shared" si="2"/>
        <v>2907.6342899999995</v>
      </c>
    </row>
    <row r="81" spans="1:8" x14ac:dyDescent="0.3">
      <c r="A81" s="61">
        <v>44055</v>
      </c>
      <c r="B81" t="s">
        <v>461</v>
      </c>
      <c r="C81">
        <f>68+4</f>
        <v>72</v>
      </c>
      <c r="D81" s="59">
        <f>1219.7+62.54</f>
        <v>1282.24</v>
      </c>
      <c r="E81" s="59">
        <f t="shared" si="6"/>
        <v>179.51360000000003</v>
      </c>
      <c r="F81" s="59">
        <f t="shared" si="7"/>
        <v>18.592479999999998</v>
      </c>
      <c r="G81" s="59">
        <f>SUM(D81*2%)</f>
        <v>25.6448</v>
      </c>
      <c r="H81" s="59">
        <f t="shared" ref="H81:H93" si="8">SUM(D81:G81)</f>
        <v>1505.9908800000001</v>
      </c>
    </row>
    <row r="82" spans="1:8" x14ac:dyDescent="0.3">
      <c r="A82" s="61">
        <v>44055</v>
      </c>
      <c r="B82" t="s">
        <v>463</v>
      </c>
      <c r="C82">
        <f>7.5+24</f>
        <v>31.5</v>
      </c>
      <c r="D82" s="59">
        <f>157.49+126.75+244.76</f>
        <v>529</v>
      </c>
      <c r="E82" s="59">
        <f t="shared" si="6"/>
        <v>74.06</v>
      </c>
      <c r="F82" s="59">
        <f t="shared" si="7"/>
        <v>7.6704999999999997</v>
      </c>
      <c r="G82" s="59">
        <f>SUM(D82*1.3%)</f>
        <v>6.8770000000000007</v>
      </c>
      <c r="H82" s="59">
        <f t="shared" si="8"/>
        <v>617.60749999999985</v>
      </c>
    </row>
    <row r="83" spans="1:8" x14ac:dyDescent="0.3">
      <c r="A83" s="61">
        <v>44055</v>
      </c>
      <c r="B83" t="s">
        <v>464</v>
      </c>
      <c r="C83">
        <v>59.75</v>
      </c>
      <c r="D83" s="59">
        <v>1105.72</v>
      </c>
      <c r="E83" s="59">
        <f t="shared" si="6"/>
        <v>154.80080000000001</v>
      </c>
      <c r="F83" s="59">
        <f t="shared" si="7"/>
        <v>16.03294</v>
      </c>
      <c r="G83" s="59">
        <f>SUM(D83*3.8%)</f>
        <v>42.017359999999996</v>
      </c>
      <c r="H83" s="59">
        <f t="shared" si="8"/>
        <v>1318.5711000000001</v>
      </c>
    </row>
    <row r="84" spans="1:8" x14ac:dyDescent="0.3">
      <c r="A84" s="61">
        <v>44055</v>
      </c>
      <c r="B84" t="s">
        <v>465</v>
      </c>
      <c r="C84">
        <v>8</v>
      </c>
      <c r="D84" s="59">
        <v>240.07</v>
      </c>
      <c r="E84" s="59">
        <f t="shared" si="6"/>
        <v>33.6098</v>
      </c>
      <c r="F84" s="59">
        <f t="shared" si="7"/>
        <v>3.4810149999999997</v>
      </c>
      <c r="G84" s="59">
        <f>SUM(D84*1.9%)</f>
        <v>4.5613299999999999</v>
      </c>
      <c r="H84" s="59">
        <f t="shared" si="8"/>
        <v>281.72214500000001</v>
      </c>
    </row>
    <row r="85" spans="1:8" x14ac:dyDescent="0.3">
      <c r="A85" s="61">
        <v>44055</v>
      </c>
      <c r="B85" t="s">
        <v>462</v>
      </c>
      <c r="C85">
        <v>41.25</v>
      </c>
      <c r="D85" s="59">
        <v>671.58</v>
      </c>
      <c r="E85" s="59">
        <f t="shared" si="6"/>
        <v>94.021200000000022</v>
      </c>
      <c r="F85" s="59">
        <f t="shared" si="7"/>
        <v>9.7379099999999994</v>
      </c>
      <c r="G85" s="59">
        <f>SUM(D85*1.3%)</f>
        <v>8.7305400000000013</v>
      </c>
      <c r="H85" s="59">
        <f t="shared" si="8"/>
        <v>784.06965000000014</v>
      </c>
    </row>
    <row r="86" spans="1:8" x14ac:dyDescent="0.3">
      <c r="A86" s="61">
        <v>44055</v>
      </c>
      <c r="B86" t="s">
        <v>459</v>
      </c>
      <c r="C86">
        <v>12</v>
      </c>
      <c r="D86" s="59">
        <v>218.86</v>
      </c>
      <c r="E86" s="59">
        <f t="shared" si="6"/>
        <v>30.640400000000003</v>
      </c>
      <c r="F86" s="59">
        <f t="shared" si="7"/>
        <v>3.17347</v>
      </c>
      <c r="G86" s="59">
        <f t="shared" si="3"/>
        <v>4.3772000000000002</v>
      </c>
      <c r="H86" s="59">
        <f t="shared" si="8"/>
        <v>257.05107000000004</v>
      </c>
    </row>
    <row r="87" spans="1:8" x14ac:dyDescent="0.3">
      <c r="A87" s="61">
        <v>44069</v>
      </c>
      <c r="B87" t="s">
        <v>460</v>
      </c>
      <c r="C87">
        <v>150</v>
      </c>
      <c r="D87" s="59">
        <v>2491.4699999999998</v>
      </c>
      <c r="E87" s="59">
        <f t="shared" si="6"/>
        <v>348.80580000000003</v>
      </c>
      <c r="F87" s="59">
        <f t="shared" si="7"/>
        <v>36.126314999999991</v>
      </c>
      <c r="G87" s="59">
        <f>SUM(D87*1.5%)</f>
        <v>37.372049999999994</v>
      </c>
      <c r="H87" s="59">
        <f t="shared" si="8"/>
        <v>2913.7741649999998</v>
      </c>
    </row>
    <row r="88" spans="1:8" x14ac:dyDescent="0.3">
      <c r="A88" s="61">
        <v>44069</v>
      </c>
      <c r="B88" t="s">
        <v>461</v>
      </c>
      <c r="C88">
        <f>59.25+8</f>
        <v>67.25</v>
      </c>
      <c r="D88" s="59">
        <f>1098.5+125.09</f>
        <v>1223.5899999999999</v>
      </c>
      <c r="E88" s="59">
        <f t="shared" si="6"/>
        <v>171.30260000000001</v>
      </c>
      <c r="F88" s="59">
        <f t="shared" si="7"/>
        <v>17.742054999999997</v>
      </c>
      <c r="G88" s="59">
        <f>SUM(D88*2%)</f>
        <v>24.471799999999998</v>
      </c>
      <c r="H88" s="59">
        <f t="shared" si="8"/>
        <v>1437.1064549999999</v>
      </c>
    </row>
    <row r="89" spans="1:8" x14ac:dyDescent="0.3">
      <c r="A89" s="61">
        <v>44069</v>
      </c>
      <c r="B89" t="s">
        <v>463</v>
      </c>
      <c r="C89">
        <f>1.5+8+16</f>
        <v>25.5</v>
      </c>
      <c r="D89" s="59">
        <f>31.5+126.75+244.76</f>
        <v>403.01</v>
      </c>
      <c r="E89" s="59">
        <f t="shared" si="6"/>
        <v>56.421400000000006</v>
      </c>
      <c r="F89" s="59">
        <f t="shared" si="7"/>
        <v>5.8436449999999995</v>
      </c>
      <c r="G89" s="59">
        <f>SUM(D89*1.3%)</f>
        <v>5.2391300000000003</v>
      </c>
      <c r="H89" s="59">
        <f t="shared" si="8"/>
        <v>470.51417499999997</v>
      </c>
    </row>
    <row r="90" spans="1:8" x14ac:dyDescent="0.3">
      <c r="A90" s="61">
        <v>44069</v>
      </c>
      <c r="B90" t="s">
        <v>464</v>
      </c>
      <c r="C90">
        <v>48.75</v>
      </c>
      <c r="D90" s="59">
        <v>876.67</v>
      </c>
      <c r="E90" s="59">
        <f t="shared" si="6"/>
        <v>122.7338</v>
      </c>
      <c r="F90" s="59">
        <f t="shared" si="7"/>
        <v>12.711714999999998</v>
      </c>
      <c r="G90" s="59">
        <f>SUM(D90*3.8%)</f>
        <v>33.313459999999999</v>
      </c>
      <c r="H90" s="59">
        <f t="shared" si="8"/>
        <v>1045.428975</v>
      </c>
    </row>
    <row r="91" spans="1:8" x14ac:dyDescent="0.3">
      <c r="A91" s="61">
        <v>44069</v>
      </c>
      <c r="B91" t="s">
        <v>465</v>
      </c>
      <c r="C91">
        <v>7.75</v>
      </c>
      <c r="D91" s="59">
        <v>232.57</v>
      </c>
      <c r="E91" s="59">
        <f t="shared" si="6"/>
        <v>32.559800000000003</v>
      </c>
      <c r="F91" s="59">
        <f t="shared" si="7"/>
        <v>3.3722649999999996</v>
      </c>
      <c r="G91" s="59">
        <f>SUM(D91*1.9%)</f>
        <v>4.4188299999999998</v>
      </c>
      <c r="H91" s="59">
        <f t="shared" si="8"/>
        <v>272.92089500000003</v>
      </c>
    </row>
    <row r="92" spans="1:8" x14ac:dyDescent="0.3">
      <c r="A92" s="61">
        <v>44069</v>
      </c>
      <c r="B92" t="s">
        <v>462</v>
      </c>
      <c r="C92">
        <v>40.75</v>
      </c>
      <c r="D92" s="59">
        <v>697.63</v>
      </c>
      <c r="E92" s="59">
        <f t="shared" si="6"/>
        <v>97.668200000000013</v>
      </c>
      <c r="F92" s="59">
        <f t="shared" si="7"/>
        <v>10.115634999999999</v>
      </c>
      <c r="G92" s="59">
        <f>SUM(D92*1.3%)</f>
        <v>9.0691900000000008</v>
      </c>
      <c r="H92" s="59">
        <f t="shared" si="8"/>
        <v>814.483025</v>
      </c>
    </row>
    <row r="93" spans="1:8" x14ac:dyDescent="0.3">
      <c r="A93" s="61">
        <v>44069</v>
      </c>
      <c r="B93" t="s">
        <v>459</v>
      </c>
      <c r="C93">
        <v>8</v>
      </c>
      <c r="D93" s="59">
        <v>160.30000000000001</v>
      </c>
      <c r="E93" s="59">
        <f t="shared" si="6"/>
        <v>22.442000000000004</v>
      </c>
      <c r="F93" s="59">
        <f t="shared" si="7"/>
        <v>2.3243499999999999</v>
      </c>
      <c r="G93" s="59">
        <f t="shared" si="3"/>
        <v>3.2060000000000004</v>
      </c>
      <c r="H93" s="59">
        <f t="shared" si="8"/>
        <v>188.27235000000002</v>
      </c>
    </row>
    <row r="94" spans="1:8" x14ac:dyDescent="0.3">
      <c r="A94" s="61">
        <v>44083</v>
      </c>
      <c r="B94" t="s">
        <v>460</v>
      </c>
      <c r="C94">
        <v>130</v>
      </c>
      <c r="D94" s="59">
        <v>2120.19</v>
      </c>
      <c r="E94" s="59">
        <v>296.82660000000004</v>
      </c>
      <c r="F94" s="59">
        <v>30.742754999999999</v>
      </c>
      <c r="G94" s="59">
        <v>42.403800000000004</v>
      </c>
      <c r="H94" s="59">
        <v>2490.1631550000002</v>
      </c>
    </row>
    <row r="95" spans="1:8" x14ac:dyDescent="0.3">
      <c r="A95" s="61">
        <v>44083</v>
      </c>
      <c r="B95" t="s">
        <v>461</v>
      </c>
      <c r="C95">
        <v>54.25</v>
      </c>
      <c r="D95" s="59">
        <v>979.56</v>
      </c>
      <c r="E95" s="59">
        <v>137.13840000000002</v>
      </c>
      <c r="F95" s="59">
        <v>14.203619999999999</v>
      </c>
      <c r="G95" s="59">
        <v>12.73428</v>
      </c>
      <c r="H95" s="59">
        <v>1143.6362999999999</v>
      </c>
    </row>
    <row r="96" spans="1:8" x14ac:dyDescent="0.3">
      <c r="A96" s="61">
        <v>44083</v>
      </c>
      <c r="B96" t="s">
        <v>463</v>
      </c>
      <c r="C96">
        <v>27.5</v>
      </c>
      <c r="D96" s="59">
        <v>465.62</v>
      </c>
      <c r="E96" s="59">
        <v>65.186800000000005</v>
      </c>
      <c r="F96" s="59">
        <v>6.7514899999999995</v>
      </c>
      <c r="G96" s="59">
        <v>6.0530600000000003</v>
      </c>
      <c r="H96" s="59">
        <v>543.61135000000002</v>
      </c>
    </row>
    <row r="97" spans="1:8" x14ac:dyDescent="0.3">
      <c r="A97" s="61">
        <v>44083</v>
      </c>
      <c r="B97" t="s">
        <v>464</v>
      </c>
      <c r="C97">
        <v>51.75</v>
      </c>
      <c r="D97" s="59">
        <v>570.59</v>
      </c>
      <c r="E97" s="59">
        <v>79.882600000000011</v>
      </c>
      <c r="F97" s="59">
        <v>8.273555</v>
      </c>
      <c r="G97" s="59">
        <v>21.68242</v>
      </c>
      <c r="H97" s="59">
        <v>680.42857500000002</v>
      </c>
    </row>
    <row r="98" spans="1:8" x14ac:dyDescent="0.3">
      <c r="A98" s="61">
        <v>44083</v>
      </c>
      <c r="B98" t="s">
        <v>465</v>
      </c>
      <c r="C98">
        <v>8</v>
      </c>
      <c r="D98" s="59">
        <v>240.07</v>
      </c>
      <c r="E98" s="59">
        <v>33.6098</v>
      </c>
      <c r="F98" s="59">
        <v>3.4810149999999997</v>
      </c>
      <c r="G98" s="59">
        <v>4.5613299999999999</v>
      </c>
      <c r="H98" s="59">
        <v>281.72214500000001</v>
      </c>
    </row>
    <row r="99" spans="1:8" x14ac:dyDescent="0.3">
      <c r="A99" s="61">
        <v>44083</v>
      </c>
      <c r="B99" t="s">
        <v>462</v>
      </c>
      <c r="C99">
        <v>43.25</v>
      </c>
      <c r="D99" s="59">
        <v>709.49</v>
      </c>
      <c r="E99" s="59">
        <v>99.328600000000009</v>
      </c>
      <c r="F99" s="59">
        <v>10.287604999999999</v>
      </c>
      <c r="G99" s="59">
        <v>9.223370000000001</v>
      </c>
      <c r="H99" s="59">
        <v>828.32957500000009</v>
      </c>
    </row>
    <row r="100" spans="1:8" x14ac:dyDescent="0.3">
      <c r="A100" s="61">
        <v>44083</v>
      </c>
      <c r="B100" t="s">
        <v>459</v>
      </c>
      <c r="C100">
        <v>8</v>
      </c>
      <c r="D100" s="59">
        <v>160.30000000000001</v>
      </c>
      <c r="E100" s="59">
        <v>22.442000000000004</v>
      </c>
      <c r="F100" s="59">
        <v>2.3243499999999999</v>
      </c>
      <c r="G100" s="59">
        <v>3.2060000000000004</v>
      </c>
      <c r="H100" s="59">
        <v>188.27235000000002</v>
      </c>
    </row>
    <row r="101" spans="1:8" x14ac:dyDescent="0.3">
      <c r="A101" s="61">
        <v>44097</v>
      </c>
      <c r="B101" t="s">
        <v>460</v>
      </c>
      <c r="C101">
        <v>138.75</v>
      </c>
      <c r="D101" s="59">
        <v>2341.52</v>
      </c>
      <c r="E101" s="59">
        <v>327.81280000000004</v>
      </c>
      <c r="F101" s="59">
        <v>33.952039999999997</v>
      </c>
      <c r="G101" s="59">
        <v>35.122799999999998</v>
      </c>
      <c r="H101" s="59">
        <v>2738.4076400000004</v>
      </c>
    </row>
    <row r="102" spans="1:8" x14ac:dyDescent="0.3">
      <c r="A102" s="61">
        <v>44097</v>
      </c>
      <c r="B102" t="s">
        <v>461</v>
      </c>
      <c r="C102">
        <v>46.75</v>
      </c>
      <c r="D102" s="59">
        <v>734.11</v>
      </c>
      <c r="E102" s="59">
        <v>102.7754</v>
      </c>
      <c r="F102" s="59">
        <v>10.644594999999999</v>
      </c>
      <c r="G102" s="59">
        <v>14.6822</v>
      </c>
      <c r="H102" s="59">
        <v>862.21219499999995</v>
      </c>
    </row>
    <row r="103" spans="1:8" x14ac:dyDescent="0.3">
      <c r="A103" s="61">
        <v>44097</v>
      </c>
      <c r="B103" t="s">
        <v>463</v>
      </c>
      <c r="C103">
        <v>17.75</v>
      </c>
      <c r="D103" s="59">
        <v>281.51</v>
      </c>
      <c r="E103" s="59">
        <v>39.4114</v>
      </c>
      <c r="F103" s="59">
        <v>4.0818949999999994</v>
      </c>
      <c r="G103" s="59">
        <v>3.6596300000000004</v>
      </c>
      <c r="H103" s="59">
        <v>328.66292499999997</v>
      </c>
    </row>
    <row r="104" spans="1:8" x14ac:dyDescent="0.3">
      <c r="A104" s="61">
        <v>44097</v>
      </c>
      <c r="B104" t="s">
        <v>464</v>
      </c>
      <c r="C104">
        <v>60</v>
      </c>
      <c r="D104" s="59">
        <v>1118.18</v>
      </c>
      <c r="E104" s="59">
        <v>156.54520000000002</v>
      </c>
      <c r="F104" s="59">
        <v>16.213609999999999</v>
      </c>
      <c r="G104" s="59">
        <v>42.490839999999999</v>
      </c>
      <c r="H104" s="59">
        <v>1333.42965</v>
      </c>
    </row>
    <row r="105" spans="1:8" x14ac:dyDescent="0.3">
      <c r="A105" s="61">
        <v>44097</v>
      </c>
      <c r="B105" t="s">
        <v>465</v>
      </c>
      <c r="C105">
        <v>8</v>
      </c>
      <c r="D105" s="59">
        <v>240.07</v>
      </c>
      <c r="E105" s="59">
        <v>33.6098</v>
      </c>
      <c r="F105" s="59">
        <v>3.4810149999999997</v>
      </c>
      <c r="G105" s="59">
        <v>4.5613299999999999</v>
      </c>
      <c r="H105" s="59">
        <v>281.72214500000001</v>
      </c>
    </row>
    <row r="106" spans="1:8" x14ac:dyDescent="0.3">
      <c r="A106" s="61">
        <v>44097</v>
      </c>
      <c r="B106" t="s">
        <v>462</v>
      </c>
      <c r="C106">
        <v>42.25</v>
      </c>
      <c r="D106" s="59">
        <v>783.09999999999991</v>
      </c>
      <c r="E106" s="59">
        <v>109.634</v>
      </c>
      <c r="F106" s="59">
        <v>11.354949999999999</v>
      </c>
      <c r="G106" s="59">
        <v>10.180299999999999</v>
      </c>
      <c r="H106" s="59">
        <v>914.26924999999994</v>
      </c>
    </row>
    <row r="107" spans="1:8" x14ac:dyDescent="0.3">
      <c r="A107" s="61">
        <v>44097</v>
      </c>
      <c r="B107" t="s">
        <v>459</v>
      </c>
      <c r="C107">
        <v>8</v>
      </c>
      <c r="D107" s="59">
        <v>160.30000000000001</v>
      </c>
      <c r="E107" s="59">
        <v>22.442000000000004</v>
      </c>
      <c r="F107" s="59">
        <v>2.3243499999999999</v>
      </c>
      <c r="G107" s="59">
        <v>3.2060000000000004</v>
      </c>
      <c r="H107" s="59">
        <v>188.27235000000002</v>
      </c>
    </row>
    <row r="108" spans="1:8" x14ac:dyDescent="0.3">
      <c r="A108" s="61">
        <v>44111</v>
      </c>
      <c r="B108" t="s">
        <v>460</v>
      </c>
      <c r="C108">
        <v>150</v>
      </c>
      <c r="D108" s="59">
        <v>2494.9899999999998</v>
      </c>
      <c r="E108" s="59">
        <v>349.29860000000002</v>
      </c>
      <c r="F108" s="59">
        <v>36.177354999999991</v>
      </c>
      <c r="G108" s="59">
        <v>37.424849999999992</v>
      </c>
      <c r="H108" s="59">
        <v>2917.8908049999995</v>
      </c>
    </row>
    <row r="109" spans="1:8" x14ac:dyDescent="0.3">
      <c r="A109" s="61">
        <v>44111</v>
      </c>
      <c r="B109" t="s">
        <v>461</v>
      </c>
      <c r="C109">
        <v>79.5</v>
      </c>
      <c r="D109" s="59">
        <v>1388.85</v>
      </c>
      <c r="E109" s="59">
        <v>194.43899999999999</v>
      </c>
      <c r="F109" s="59">
        <v>20.138324999999998</v>
      </c>
      <c r="G109" s="59">
        <v>27.776999999999997</v>
      </c>
      <c r="H109" s="59">
        <v>1631.2043249999999</v>
      </c>
    </row>
    <row r="110" spans="1:8" x14ac:dyDescent="0.3">
      <c r="A110" s="61">
        <v>44111</v>
      </c>
      <c r="B110" t="s">
        <v>463</v>
      </c>
      <c r="C110">
        <v>11.5</v>
      </c>
      <c r="D110" s="59">
        <v>195.87</v>
      </c>
      <c r="E110" s="59">
        <v>27.421800000000005</v>
      </c>
      <c r="F110" s="59">
        <v>2.8401149999999999</v>
      </c>
      <c r="G110" s="59">
        <v>2.5463100000000001</v>
      </c>
      <c r="H110" s="59">
        <v>228.67822500000003</v>
      </c>
    </row>
    <row r="111" spans="1:8" x14ac:dyDescent="0.3">
      <c r="A111" s="61">
        <v>44111</v>
      </c>
      <c r="B111" t="s">
        <v>464</v>
      </c>
      <c r="C111">
        <v>64</v>
      </c>
      <c r="D111" s="59">
        <v>1207.99</v>
      </c>
      <c r="E111" s="59">
        <v>169.11860000000001</v>
      </c>
      <c r="F111" s="59">
        <v>17.515854999999998</v>
      </c>
      <c r="G111" s="59">
        <v>45.903619999999997</v>
      </c>
      <c r="H111" s="59">
        <v>1440.5280750000002</v>
      </c>
    </row>
    <row r="112" spans="1:8" x14ac:dyDescent="0.3">
      <c r="A112" s="61">
        <v>44111</v>
      </c>
      <c r="B112" t="s">
        <v>465</v>
      </c>
      <c r="C112">
        <v>8</v>
      </c>
      <c r="D112" s="59">
        <v>240.07</v>
      </c>
      <c r="E112" s="59">
        <v>33.6098</v>
      </c>
      <c r="F112" s="59">
        <v>3.4810149999999997</v>
      </c>
      <c r="G112" s="59">
        <v>4.5613299999999999</v>
      </c>
      <c r="H112" s="59">
        <v>281.72214500000001</v>
      </c>
    </row>
    <row r="113" spans="1:8" x14ac:dyDescent="0.3">
      <c r="A113" s="61">
        <v>44111</v>
      </c>
      <c r="B113" t="s">
        <v>462</v>
      </c>
      <c r="C113">
        <v>35.75</v>
      </c>
      <c r="D113" s="59">
        <v>607.19000000000005</v>
      </c>
      <c r="E113" s="59">
        <v>85.00660000000002</v>
      </c>
      <c r="F113" s="59">
        <v>8.8042549999999995</v>
      </c>
      <c r="G113" s="59">
        <v>7.8934700000000015</v>
      </c>
      <c r="H113" s="59">
        <v>708.89432500000009</v>
      </c>
    </row>
    <row r="114" spans="1:8" x14ac:dyDescent="0.3">
      <c r="A114" s="61">
        <v>44111</v>
      </c>
      <c r="B114" t="s">
        <v>459</v>
      </c>
      <c r="C114">
        <v>8</v>
      </c>
      <c r="D114" s="59">
        <v>160.30000000000001</v>
      </c>
      <c r="E114" s="59">
        <v>22.442000000000004</v>
      </c>
      <c r="F114" s="59">
        <v>2.3243499999999999</v>
      </c>
      <c r="G114" s="59">
        <v>3.2060000000000004</v>
      </c>
      <c r="H114" s="59">
        <v>188.27235000000002</v>
      </c>
    </row>
    <row r="115" spans="1:8" x14ac:dyDescent="0.3">
      <c r="A115" s="61"/>
      <c r="E115" s="59">
        <v>0</v>
      </c>
      <c r="F115" s="59">
        <v>0</v>
      </c>
      <c r="G115" s="59">
        <v>0</v>
      </c>
      <c r="H115" s="59">
        <v>0</v>
      </c>
    </row>
    <row r="116" spans="1:8" x14ac:dyDescent="0.3">
      <c r="A116" s="61"/>
      <c r="H116" s="59"/>
    </row>
    <row r="117" spans="1:8" ht="15" thickBot="1" x14ac:dyDescent="0.35">
      <c r="D117" s="64">
        <f>SUM(D12:D115)</f>
        <v>85620.08000000006</v>
      </c>
      <c r="E117" s="64">
        <f t="shared" ref="E117:H117" si="9">SUM(E12:E115)</f>
        <v>11986.811200000002</v>
      </c>
      <c r="F117" s="64">
        <f t="shared" si="9"/>
        <v>1241.4911600000005</v>
      </c>
      <c r="G117" s="64">
        <f t="shared" si="9"/>
        <v>1650.4463700000001</v>
      </c>
      <c r="H117" s="64">
        <f t="shared" si="9"/>
        <v>100498.82873000001</v>
      </c>
    </row>
    <row r="118" spans="1:8" ht="15" thickTop="1" x14ac:dyDescent="0.3">
      <c r="H118" s="59"/>
    </row>
    <row r="119" spans="1:8" x14ac:dyDescent="0.3">
      <c r="H119" s="59"/>
    </row>
    <row r="120" spans="1:8" x14ac:dyDescent="0.3">
      <c r="H120" s="59"/>
    </row>
    <row r="121" spans="1:8" x14ac:dyDescent="0.3">
      <c r="H121" s="59"/>
    </row>
    <row r="122" spans="1:8" x14ac:dyDescent="0.3">
      <c r="H122" s="59"/>
    </row>
    <row r="123" spans="1:8" x14ac:dyDescent="0.3">
      <c r="H123" s="59"/>
    </row>
  </sheetData>
  <pageMargins left="0.7" right="0.2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20A3-3443-4838-81F5-0FBA183958E6}">
  <sheetPr>
    <tabColor theme="3" tint="0.59999389629810485"/>
    <pageSetUpPr fitToPage="1"/>
  </sheetPr>
  <dimension ref="A1:AP65"/>
  <sheetViews>
    <sheetView zoomScaleNormal="100" workbookViewId="0">
      <selection activeCell="AM57" sqref="AM57"/>
    </sheetView>
  </sheetViews>
  <sheetFormatPr defaultRowHeight="14.4" x14ac:dyDescent="0.3"/>
  <cols>
    <col min="1" max="1" width="18.44140625" customWidth="1"/>
    <col min="2" max="2" width="10.5546875" style="8" customWidth="1"/>
    <col min="3" max="3" width="5.33203125" customWidth="1"/>
    <col min="4" max="4" width="11" style="9" bestFit="1" customWidth="1"/>
    <col min="5" max="5" width="10.33203125" style="9" bestFit="1" customWidth="1"/>
    <col min="6" max="6" width="11.33203125" customWidth="1"/>
    <col min="7" max="7" width="2.33203125" customWidth="1"/>
    <col min="8" max="8" width="18.44140625" hidden="1" customWidth="1"/>
    <col min="9" max="9" width="10.44140625" style="8" hidden="1" customWidth="1"/>
    <col min="10" max="10" width="4.6640625" hidden="1" customWidth="1"/>
    <col min="11" max="11" width="11.33203125" hidden="1" customWidth="1"/>
    <col min="12" max="12" width="9.5546875" hidden="1" customWidth="1"/>
    <col min="13" max="13" width="6.5546875" hidden="1" customWidth="1"/>
    <col min="14" max="14" width="1.6640625" hidden="1" customWidth="1"/>
    <col min="15" max="15" width="18.44140625" hidden="1" customWidth="1"/>
    <col min="16" max="16" width="10.33203125" style="8" hidden="1" customWidth="1"/>
    <col min="17" max="17" width="4.6640625" hidden="1" customWidth="1"/>
    <col min="18" max="18" width="11" hidden="1" customWidth="1"/>
    <col min="19" max="19" width="8.6640625" hidden="1" customWidth="1"/>
    <col min="20" max="20" width="6.5546875" hidden="1" customWidth="1"/>
    <col min="21" max="21" width="1.6640625" hidden="1" customWidth="1"/>
    <col min="22" max="22" width="18.44140625" hidden="1" customWidth="1"/>
    <col min="23" max="23" width="10.33203125" style="8" hidden="1" customWidth="1"/>
    <col min="24" max="24" width="4.6640625" hidden="1" customWidth="1"/>
    <col min="25" max="25" width="11" hidden="1" customWidth="1"/>
    <col min="26" max="26" width="10.33203125" hidden="1" customWidth="1"/>
    <col min="27" max="27" width="11.33203125" hidden="1" customWidth="1"/>
    <col min="28" max="28" width="1.6640625" hidden="1" customWidth="1"/>
    <col min="29" max="29" width="18.44140625" hidden="1" customWidth="1"/>
    <col min="30" max="30" width="10.33203125" style="8" hidden="1" customWidth="1"/>
    <col min="31" max="31" width="4.6640625" hidden="1" customWidth="1"/>
    <col min="32" max="32" width="11" hidden="1" customWidth="1"/>
    <col min="33" max="33" width="9.33203125" hidden="1" customWidth="1"/>
    <col min="34" max="34" width="10.33203125" hidden="1" customWidth="1"/>
    <col min="35" max="35" width="1.6640625" hidden="1" customWidth="1"/>
    <col min="36" max="36" width="18.44140625" customWidth="1"/>
    <col min="37" max="37" width="10.33203125" style="8" customWidth="1"/>
    <col min="38" max="38" width="4.6640625" customWidth="1"/>
    <col min="39" max="39" width="11" bestFit="1" customWidth="1"/>
    <col min="40" max="40" width="10.109375" bestFit="1" customWidth="1"/>
    <col min="41" max="41" width="10.33203125" bestFit="1" customWidth="1"/>
  </cols>
  <sheetData>
    <row r="1" spans="1:42" x14ac:dyDescent="0.3">
      <c r="A1" s="189" t="s">
        <v>476</v>
      </c>
      <c r="B1" s="189"/>
      <c r="C1" s="189"/>
      <c r="D1" s="189"/>
      <c r="E1" s="189"/>
      <c r="F1" s="189"/>
      <c r="H1" s="189" t="s">
        <v>477</v>
      </c>
      <c r="I1" s="189"/>
      <c r="J1" s="189"/>
      <c r="K1" s="189"/>
      <c r="L1" s="189"/>
      <c r="M1" s="189"/>
      <c r="O1" s="189" t="s">
        <v>478</v>
      </c>
      <c r="P1" s="189"/>
      <c r="Q1" s="189"/>
      <c r="R1" s="189"/>
      <c r="S1" s="189"/>
      <c r="T1" s="189"/>
      <c r="V1" s="189" t="s">
        <v>933</v>
      </c>
      <c r="W1" s="189"/>
      <c r="X1" s="189"/>
      <c r="Y1" s="189"/>
      <c r="Z1" s="189"/>
      <c r="AA1" s="189"/>
      <c r="AC1" s="189" t="s">
        <v>976</v>
      </c>
      <c r="AD1" s="189"/>
      <c r="AE1" s="189"/>
      <c r="AF1" s="189"/>
      <c r="AG1" s="189"/>
      <c r="AH1" s="189"/>
      <c r="AJ1" s="189" t="s">
        <v>1236</v>
      </c>
      <c r="AK1" s="189"/>
      <c r="AL1" s="189"/>
      <c r="AM1" s="189"/>
      <c r="AN1" s="189"/>
      <c r="AO1" s="189"/>
    </row>
    <row r="2" spans="1:42" x14ac:dyDescent="0.3">
      <c r="A2" s="3"/>
      <c r="B2" s="167"/>
      <c r="C2" s="123" t="s">
        <v>494</v>
      </c>
      <c r="H2" s="3"/>
      <c r="I2" s="167"/>
      <c r="J2" s="123" t="s">
        <v>493</v>
      </c>
      <c r="K2" s="9"/>
      <c r="L2" s="9"/>
      <c r="O2" s="3"/>
      <c r="P2" s="167"/>
      <c r="Q2" s="123" t="s">
        <v>495</v>
      </c>
      <c r="R2" s="9"/>
      <c r="S2" s="9"/>
      <c r="V2" s="3"/>
      <c r="W2" s="167"/>
      <c r="X2" s="123" t="s">
        <v>934</v>
      </c>
      <c r="Y2" s="9"/>
      <c r="Z2" s="9"/>
      <c r="AC2" s="3"/>
      <c r="AD2" s="167"/>
      <c r="AE2" s="123" t="s">
        <v>1235</v>
      </c>
      <c r="AF2" s="9"/>
      <c r="AG2" s="9"/>
      <c r="AJ2" s="3"/>
      <c r="AK2" s="167"/>
      <c r="AL2" s="123" t="s">
        <v>1237</v>
      </c>
      <c r="AM2" s="9"/>
      <c r="AN2" s="9"/>
    </row>
    <row r="3" spans="1:42" x14ac:dyDescent="0.3">
      <c r="A3" s="188"/>
      <c r="B3" s="188"/>
      <c r="C3" s="188"/>
      <c r="H3" s="188"/>
      <c r="I3" s="188"/>
      <c r="J3" s="188"/>
      <c r="K3" s="9"/>
      <c r="L3" s="9"/>
      <c r="O3" s="188"/>
      <c r="P3" s="188"/>
      <c r="Q3" s="188"/>
      <c r="R3" s="9"/>
      <c r="S3" s="9"/>
      <c r="V3" s="188"/>
      <c r="W3" s="188"/>
      <c r="X3" s="188"/>
      <c r="Y3" s="9"/>
      <c r="Z3" s="9"/>
      <c r="AC3" s="188"/>
      <c r="AD3" s="188"/>
      <c r="AE3" s="188"/>
      <c r="AF3" s="9"/>
      <c r="AG3" s="9"/>
      <c r="AJ3" s="188"/>
      <c r="AK3" s="188"/>
      <c r="AL3" s="188"/>
      <c r="AM3" s="9"/>
      <c r="AN3" s="9"/>
    </row>
    <row r="4" spans="1:42" ht="43.2" x14ac:dyDescent="0.3">
      <c r="A4" s="4" t="s">
        <v>1238</v>
      </c>
      <c r="B4" s="10" t="s">
        <v>22</v>
      </c>
      <c r="C4" s="4" t="s">
        <v>19</v>
      </c>
      <c r="D4" s="49" t="s">
        <v>326</v>
      </c>
      <c r="E4" s="49" t="s">
        <v>325</v>
      </c>
      <c r="F4" s="11" t="s">
        <v>25</v>
      </c>
      <c r="H4" s="4" t="str">
        <f>A4</f>
        <v>Pay Period  FY2022</v>
      </c>
      <c r="I4" s="10" t="s">
        <v>22</v>
      </c>
      <c r="J4" s="4" t="s">
        <v>19</v>
      </c>
      <c r="K4" s="49" t="s">
        <v>326</v>
      </c>
      <c r="L4" s="49" t="s">
        <v>325</v>
      </c>
      <c r="M4" s="11" t="s">
        <v>25</v>
      </c>
      <c r="O4" s="4" t="str">
        <f>A4</f>
        <v>Pay Period  FY2022</v>
      </c>
      <c r="P4" s="10" t="s">
        <v>22</v>
      </c>
      <c r="Q4" s="4" t="s">
        <v>19</v>
      </c>
      <c r="R4" s="49" t="s">
        <v>326</v>
      </c>
      <c r="S4" s="49" t="s">
        <v>325</v>
      </c>
      <c r="T4" s="11" t="s">
        <v>25</v>
      </c>
      <c r="V4" s="4" t="str">
        <f>A4</f>
        <v>Pay Period  FY2022</v>
      </c>
      <c r="W4" s="10" t="s">
        <v>22</v>
      </c>
      <c r="X4" s="4" t="s">
        <v>19</v>
      </c>
      <c r="Y4" s="49" t="s">
        <v>326</v>
      </c>
      <c r="Z4" s="49" t="s">
        <v>325</v>
      </c>
      <c r="AA4" s="11" t="s">
        <v>25</v>
      </c>
      <c r="AC4" s="4" t="str">
        <f>H4</f>
        <v>Pay Period  FY2022</v>
      </c>
      <c r="AD4" s="10" t="s">
        <v>22</v>
      </c>
      <c r="AE4" s="4" t="s">
        <v>19</v>
      </c>
      <c r="AF4" s="49" t="s">
        <v>326</v>
      </c>
      <c r="AG4" s="49" t="s">
        <v>325</v>
      </c>
      <c r="AH4" s="11" t="s">
        <v>25</v>
      </c>
      <c r="AJ4" s="4" t="str">
        <f>O4</f>
        <v>Pay Period  FY2022</v>
      </c>
      <c r="AK4" s="10" t="s">
        <v>22</v>
      </c>
      <c r="AL4" s="4" t="s">
        <v>19</v>
      </c>
      <c r="AM4" s="49" t="s">
        <v>326</v>
      </c>
      <c r="AN4" s="49" t="s">
        <v>325</v>
      </c>
      <c r="AO4" s="11" t="s">
        <v>25</v>
      </c>
    </row>
    <row r="5" spans="1:42" ht="28.5" customHeight="1" x14ac:dyDescent="0.3">
      <c r="A5" s="6"/>
      <c r="B5" s="134"/>
      <c r="C5" s="6"/>
      <c r="D5" s="13"/>
      <c r="E5" s="13"/>
      <c r="F5" s="13">
        <f t="shared" ref="F5" si="0">SUM(D5:E5)</f>
        <v>0</v>
      </c>
      <c r="H5" s="6">
        <f>A5</f>
        <v>0</v>
      </c>
      <c r="I5" s="134">
        <f>B5</f>
        <v>0</v>
      </c>
      <c r="J5" s="6">
        <f>C5</f>
        <v>0</v>
      </c>
      <c r="K5" s="13"/>
      <c r="L5" s="13"/>
      <c r="M5" s="13">
        <f>SUM(K5:L5)</f>
        <v>0</v>
      </c>
      <c r="O5" s="6">
        <f>A5</f>
        <v>0</v>
      </c>
      <c r="P5" s="134">
        <f>B5</f>
        <v>0</v>
      </c>
      <c r="Q5" s="6">
        <f>C5</f>
        <v>0</v>
      </c>
      <c r="R5" s="13"/>
      <c r="S5" s="13"/>
      <c r="T5" s="13">
        <f t="shared" ref="T5:T58" si="1">SUM(R5:S5)</f>
        <v>0</v>
      </c>
      <c r="V5" s="6">
        <f>A5</f>
        <v>0</v>
      </c>
      <c r="W5" s="134">
        <f>B5</f>
        <v>0</v>
      </c>
      <c r="X5" s="6">
        <f>C5</f>
        <v>0</v>
      </c>
      <c r="Y5" s="13"/>
      <c r="Z5" s="13"/>
      <c r="AA5" s="13">
        <f t="shared" ref="AA5:AA27" si="2">SUM(Y5:Z5)</f>
        <v>0</v>
      </c>
      <c r="AC5" s="6">
        <f>H5</f>
        <v>0</v>
      </c>
      <c r="AD5" s="134">
        <f>I5</f>
        <v>0</v>
      </c>
      <c r="AE5" s="6">
        <f>J5</f>
        <v>0</v>
      </c>
      <c r="AF5" s="13"/>
      <c r="AG5" s="13"/>
      <c r="AH5" s="13">
        <f t="shared" ref="AH5:AH27" si="3">SUM(AF5:AG5)</f>
        <v>0</v>
      </c>
      <c r="AJ5" s="6">
        <f>O5</f>
        <v>0</v>
      </c>
      <c r="AK5" s="134">
        <f>P5</f>
        <v>0</v>
      </c>
      <c r="AL5" s="6">
        <f>Q5</f>
        <v>0</v>
      </c>
      <c r="AM5" s="13">
        <v>2735.85</v>
      </c>
      <c r="AN5" s="13">
        <v>1024.97</v>
      </c>
      <c r="AO5" s="13">
        <f t="shared" ref="AO5:AO27" si="4">SUM(AM5:AN5)</f>
        <v>3760.8199999999997</v>
      </c>
      <c r="AP5" s="50" t="s">
        <v>1239</v>
      </c>
    </row>
    <row r="6" spans="1:42" x14ac:dyDescent="0.3">
      <c r="A6" s="6"/>
      <c r="B6" s="134"/>
      <c r="C6" s="6"/>
      <c r="D6" s="13"/>
      <c r="E6" s="13"/>
      <c r="F6" s="13">
        <f>SUM(D6:E6)</f>
        <v>0</v>
      </c>
      <c r="H6" s="6">
        <f t="shared" ref="H6:J58" si="5">A6</f>
        <v>0</v>
      </c>
      <c r="I6" s="134">
        <f t="shared" si="5"/>
        <v>0</v>
      </c>
      <c r="J6" s="6">
        <f t="shared" si="5"/>
        <v>0</v>
      </c>
      <c r="K6" s="13"/>
      <c r="L6" s="13"/>
      <c r="M6" s="13">
        <f>SUM(K6:L6)</f>
        <v>0</v>
      </c>
      <c r="O6" s="6">
        <f t="shared" ref="O6:Q58" si="6">A6</f>
        <v>0</v>
      </c>
      <c r="P6" s="134">
        <f t="shared" si="6"/>
        <v>0</v>
      </c>
      <c r="Q6" s="6">
        <f t="shared" si="6"/>
        <v>0</v>
      </c>
      <c r="R6" s="13"/>
      <c r="S6" s="13"/>
      <c r="T6" s="13">
        <f t="shared" si="1"/>
        <v>0</v>
      </c>
      <c r="V6" s="6">
        <f t="shared" ref="V6:X58" si="7">A6</f>
        <v>0</v>
      </c>
      <c r="W6" s="134">
        <f t="shared" si="7"/>
        <v>0</v>
      </c>
      <c r="X6" s="6">
        <f t="shared" si="7"/>
        <v>0</v>
      </c>
      <c r="Y6" s="13"/>
      <c r="Z6" s="13"/>
      <c r="AA6" s="13">
        <f t="shared" si="2"/>
        <v>0</v>
      </c>
      <c r="AC6" s="6">
        <f t="shared" ref="AC6:AE58" si="8">H6</f>
        <v>0</v>
      </c>
      <c r="AD6" s="134">
        <f t="shared" si="8"/>
        <v>0</v>
      </c>
      <c r="AE6" s="6">
        <f t="shared" si="8"/>
        <v>0</v>
      </c>
      <c r="AF6" s="13"/>
      <c r="AG6" s="13"/>
      <c r="AH6" s="13">
        <f t="shared" si="3"/>
        <v>0</v>
      </c>
      <c r="AJ6" s="6">
        <f t="shared" ref="AJ6:AL58" si="9">O6</f>
        <v>0</v>
      </c>
      <c r="AK6" s="134">
        <f t="shared" si="9"/>
        <v>0</v>
      </c>
      <c r="AL6" s="6">
        <f t="shared" si="9"/>
        <v>0</v>
      </c>
      <c r="AM6" s="13">
        <f>3100.62+276</f>
        <v>3376.62</v>
      </c>
      <c r="AN6" s="13">
        <f>898.66+39.96</f>
        <v>938.62</v>
      </c>
      <c r="AO6" s="13">
        <f t="shared" si="4"/>
        <v>4315.24</v>
      </c>
      <c r="AP6" s="161" t="s">
        <v>1253</v>
      </c>
    </row>
    <row r="7" spans="1:42" x14ac:dyDescent="0.3">
      <c r="A7" s="6"/>
      <c r="B7" s="134"/>
      <c r="C7" s="6"/>
      <c r="D7" s="13"/>
      <c r="E7" s="13"/>
      <c r="F7" s="13">
        <f t="shared" ref="F7:F58" si="10">SUM(D7:E7)</f>
        <v>0</v>
      </c>
      <c r="H7" s="6">
        <f t="shared" si="5"/>
        <v>0</v>
      </c>
      <c r="I7" s="134">
        <f t="shared" si="5"/>
        <v>0</v>
      </c>
      <c r="J7" s="6">
        <f t="shared" si="5"/>
        <v>0</v>
      </c>
      <c r="K7" s="13"/>
      <c r="L7" s="13"/>
      <c r="M7" s="13">
        <f t="shared" ref="M7:M58" si="11">SUM(K7:L7)</f>
        <v>0</v>
      </c>
      <c r="O7" s="6">
        <f t="shared" si="6"/>
        <v>0</v>
      </c>
      <c r="P7" s="134">
        <f t="shared" si="6"/>
        <v>0</v>
      </c>
      <c r="Q7" s="6">
        <f t="shared" si="6"/>
        <v>0</v>
      </c>
      <c r="R7" s="13"/>
      <c r="S7" s="13"/>
      <c r="T7" s="13">
        <f t="shared" si="1"/>
        <v>0</v>
      </c>
      <c r="V7" s="6">
        <f t="shared" si="7"/>
        <v>0</v>
      </c>
      <c r="W7" s="134">
        <f t="shared" si="7"/>
        <v>0</v>
      </c>
      <c r="X7" s="6">
        <f t="shared" si="7"/>
        <v>0</v>
      </c>
      <c r="Y7" s="13"/>
      <c r="Z7" s="13"/>
      <c r="AA7" s="13">
        <f t="shared" si="2"/>
        <v>0</v>
      </c>
      <c r="AC7" s="6">
        <f t="shared" si="8"/>
        <v>0</v>
      </c>
      <c r="AD7" s="134">
        <f t="shared" si="8"/>
        <v>0</v>
      </c>
      <c r="AE7" s="6">
        <f t="shared" si="8"/>
        <v>0</v>
      </c>
      <c r="AF7" s="13"/>
      <c r="AG7" s="13"/>
      <c r="AH7" s="13">
        <f t="shared" si="3"/>
        <v>0</v>
      </c>
      <c r="AJ7" s="6">
        <f t="shared" si="9"/>
        <v>0</v>
      </c>
      <c r="AK7" s="134">
        <f t="shared" si="9"/>
        <v>0</v>
      </c>
      <c r="AL7" s="6">
        <f t="shared" si="9"/>
        <v>0</v>
      </c>
      <c r="AM7" s="13"/>
      <c r="AN7" s="13"/>
      <c r="AO7" s="13">
        <f t="shared" si="4"/>
        <v>0</v>
      </c>
    </row>
    <row r="8" spans="1:42" x14ac:dyDescent="0.3">
      <c r="A8" s="162"/>
      <c r="B8" s="134"/>
      <c r="C8" s="6"/>
      <c r="D8" s="13"/>
      <c r="E8" s="44"/>
      <c r="F8" s="13">
        <f t="shared" si="10"/>
        <v>0</v>
      </c>
      <c r="H8" s="6">
        <f t="shared" si="5"/>
        <v>0</v>
      </c>
      <c r="I8" s="134">
        <f t="shared" si="5"/>
        <v>0</v>
      </c>
      <c r="J8" s="6">
        <f t="shared" si="5"/>
        <v>0</v>
      </c>
      <c r="K8" s="13"/>
      <c r="L8" s="44"/>
      <c r="M8" s="13">
        <f t="shared" si="11"/>
        <v>0</v>
      </c>
      <c r="O8" s="6">
        <f t="shared" si="6"/>
        <v>0</v>
      </c>
      <c r="P8" s="134">
        <f t="shared" si="6"/>
        <v>0</v>
      </c>
      <c r="Q8" s="6">
        <f t="shared" si="6"/>
        <v>0</v>
      </c>
      <c r="R8" s="13"/>
      <c r="S8" s="44"/>
      <c r="T8" s="13">
        <f t="shared" si="1"/>
        <v>0</v>
      </c>
      <c r="V8" s="6">
        <f t="shared" si="7"/>
        <v>0</v>
      </c>
      <c r="W8" s="134">
        <f t="shared" si="7"/>
        <v>0</v>
      </c>
      <c r="X8" s="6">
        <f t="shared" si="7"/>
        <v>0</v>
      </c>
      <c r="Y8" s="13"/>
      <c r="Z8" s="44"/>
      <c r="AA8" s="13">
        <f t="shared" si="2"/>
        <v>0</v>
      </c>
      <c r="AC8" s="6">
        <f t="shared" si="8"/>
        <v>0</v>
      </c>
      <c r="AD8" s="134">
        <f t="shared" si="8"/>
        <v>0</v>
      </c>
      <c r="AE8" s="6">
        <f t="shared" si="8"/>
        <v>0</v>
      </c>
      <c r="AF8" s="13"/>
      <c r="AG8" s="44"/>
      <c r="AH8" s="13">
        <f t="shared" si="3"/>
        <v>0</v>
      </c>
      <c r="AJ8" s="6">
        <f t="shared" si="9"/>
        <v>0</v>
      </c>
      <c r="AK8" s="134">
        <f t="shared" si="9"/>
        <v>0</v>
      </c>
      <c r="AL8" s="6">
        <f t="shared" si="9"/>
        <v>0</v>
      </c>
      <c r="AM8" s="13"/>
      <c r="AN8" s="44"/>
      <c r="AO8" s="13">
        <f t="shared" si="4"/>
        <v>0</v>
      </c>
    </row>
    <row r="9" spans="1:42" x14ac:dyDescent="0.3">
      <c r="A9" s="6"/>
      <c r="B9" s="134"/>
      <c r="C9" s="6"/>
      <c r="D9" s="13"/>
      <c r="E9" s="13"/>
      <c r="F9" s="13">
        <f t="shared" si="10"/>
        <v>0</v>
      </c>
      <c r="H9" s="6">
        <f t="shared" si="5"/>
        <v>0</v>
      </c>
      <c r="I9" s="134">
        <f t="shared" si="5"/>
        <v>0</v>
      </c>
      <c r="J9" s="6">
        <f t="shared" si="5"/>
        <v>0</v>
      </c>
      <c r="K9" s="13"/>
      <c r="L9" s="13"/>
      <c r="M9" s="13">
        <f t="shared" si="11"/>
        <v>0</v>
      </c>
      <c r="O9" s="6">
        <f t="shared" si="6"/>
        <v>0</v>
      </c>
      <c r="P9" s="134">
        <f t="shared" si="6"/>
        <v>0</v>
      </c>
      <c r="Q9" s="6">
        <f t="shared" si="6"/>
        <v>0</v>
      </c>
      <c r="R9" s="13"/>
      <c r="S9" s="13"/>
      <c r="T9" s="13">
        <f t="shared" si="1"/>
        <v>0</v>
      </c>
      <c r="V9" s="6">
        <f t="shared" si="7"/>
        <v>0</v>
      </c>
      <c r="W9" s="134">
        <f t="shared" si="7"/>
        <v>0</v>
      </c>
      <c r="X9" s="6">
        <f t="shared" si="7"/>
        <v>0</v>
      </c>
      <c r="Y9" s="13"/>
      <c r="Z9" s="13"/>
      <c r="AA9" s="13">
        <f t="shared" si="2"/>
        <v>0</v>
      </c>
      <c r="AC9" s="6">
        <f t="shared" si="8"/>
        <v>0</v>
      </c>
      <c r="AD9" s="134">
        <f t="shared" si="8"/>
        <v>0</v>
      </c>
      <c r="AE9" s="6">
        <f t="shared" si="8"/>
        <v>0</v>
      </c>
      <c r="AF9" s="13"/>
      <c r="AG9" s="13"/>
      <c r="AH9" s="13">
        <f t="shared" si="3"/>
        <v>0</v>
      </c>
      <c r="AJ9" s="6">
        <f t="shared" si="9"/>
        <v>0</v>
      </c>
      <c r="AK9" s="134">
        <f t="shared" si="9"/>
        <v>0</v>
      </c>
      <c r="AL9" s="6">
        <f t="shared" si="9"/>
        <v>0</v>
      </c>
      <c r="AM9" s="13"/>
      <c r="AN9" s="13"/>
      <c r="AO9" s="13">
        <f t="shared" si="4"/>
        <v>0</v>
      </c>
    </row>
    <row r="10" spans="1:42" x14ac:dyDescent="0.3">
      <c r="A10" s="6"/>
      <c r="B10" s="134"/>
      <c r="C10" s="6"/>
      <c r="D10" s="13"/>
      <c r="E10" s="13"/>
      <c r="F10" s="13">
        <f t="shared" si="10"/>
        <v>0</v>
      </c>
      <c r="H10" s="6">
        <f t="shared" si="5"/>
        <v>0</v>
      </c>
      <c r="I10" s="134">
        <f t="shared" si="5"/>
        <v>0</v>
      </c>
      <c r="J10" s="6">
        <f t="shared" si="5"/>
        <v>0</v>
      </c>
      <c r="K10" s="13"/>
      <c r="L10" s="13"/>
      <c r="M10" s="13">
        <f t="shared" si="11"/>
        <v>0</v>
      </c>
      <c r="O10" s="6">
        <f t="shared" si="6"/>
        <v>0</v>
      </c>
      <c r="P10" s="134">
        <f t="shared" si="6"/>
        <v>0</v>
      </c>
      <c r="Q10" s="6">
        <f t="shared" si="6"/>
        <v>0</v>
      </c>
      <c r="R10" s="13"/>
      <c r="S10" s="13"/>
      <c r="T10" s="13">
        <f t="shared" si="1"/>
        <v>0</v>
      </c>
      <c r="V10" s="6">
        <f t="shared" si="7"/>
        <v>0</v>
      </c>
      <c r="W10" s="134">
        <f t="shared" si="7"/>
        <v>0</v>
      </c>
      <c r="X10" s="6">
        <f t="shared" si="7"/>
        <v>0</v>
      </c>
      <c r="Y10" s="13"/>
      <c r="Z10" s="13"/>
      <c r="AA10" s="13">
        <f t="shared" si="2"/>
        <v>0</v>
      </c>
      <c r="AC10" s="6">
        <f t="shared" si="8"/>
        <v>0</v>
      </c>
      <c r="AD10" s="134">
        <f t="shared" si="8"/>
        <v>0</v>
      </c>
      <c r="AE10" s="6">
        <f t="shared" si="8"/>
        <v>0</v>
      </c>
      <c r="AF10" s="13"/>
      <c r="AG10" s="13"/>
      <c r="AH10" s="13">
        <f t="shared" si="3"/>
        <v>0</v>
      </c>
      <c r="AJ10" s="6">
        <f t="shared" si="9"/>
        <v>0</v>
      </c>
      <c r="AK10" s="134">
        <f t="shared" si="9"/>
        <v>0</v>
      </c>
      <c r="AL10" s="6">
        <f t="shared" si="9"/>
        <v>0</v>
      </c>
      <c r="AM10" s="13"/>
      <c r="AN10" s="13"/>
      <c r="AO10" s="13">
        <f t="shared" si="4"/>
        <v>0</v>
      </c>
    </row>
    <row r="11" spans="1:42" x14ac:dyDescent="0.3">
      <c r="A11" s="6"/>
      <c r="B11" s="134"/>
      <c r="C11" s="6"/>
      <c r="D11" s="13"/>
      <c r="E11" s="13"/>
      <c r="F11" s="13">
        <f t="shared" si="10"/>
        <v>0</v>
      </c>
      <c r="H11" s="6">
        <f t="shared" si="5"/>
        <v>0</v>
      </c>
      <c r="I11" s="134">
        <f t="shared" si="5"/>
        <v>0</v>
      </c>
      <c r="J11" s="6">
        <f t="shared" si="5"/>
        <v>0</v>
      </c>
      <c r="K11" s="13"/>
      <c r="L11" s="13"/>
      <c r="M11" s="13">
        <f t="shared" si="11"/>
        <v>0</v>
      </c>
      <c r="O11" s="6">
        <f t="shared" si="6"/>
        <v>0</v>
      </c>
      <c r="P11" s="134">
        <f t="shared" si="6"/>
        <v>0</v>
      </c>
      <c r="Q11" s="6">
        <f t="shared" si="6"/>
        <v>0</v>
      </c>
      <c r="R11" s="13"/>
      <c r="S11" s="13"/>
      <c r="T11" s="13">
        <f t="shared" si="1"/>
        <v>0</v>
      </c>
      <c r="V11" s="6">
        <f t="shared" si="7"/>
        <v>0</v>
      </c>
      <c r="W11" s="134">
        <f t="shared" si="7"/>
        <v>0</v>
      </c>
      <c r="X11" s="6">
        <f t="shared" si="7"/>
        <v>0</v>
      </c>
      <c r="Y11" s="13"/>
      <c r="Z11" s="13"/>
      <c r="AA11" s="13">
        <f t="shared" si="2"/>
        <v>0</v>
      </c>
      <c r="AC11" s="6">
        <f t="shared" si="8"/>
        <v>0</v>
      </c>
      <c r="AD11" s="134">
        <f t="shared" si="8"/>
        <v>0</v>
      </c>
      <c r="AE11" s="6">
        <f t="shared" si="8"/>
        <v>0</v>
      </c>
      <c r="AF11" s="13"/>
      <c r="AG11" s="13"/>
      <c r="AH11" s="13">
        <f t="shared" si="3"/>
        <v>0</v>
      </c>
      <c r="AJ11" s="6">
        <f t="shared" si="9"/>
        <v>0</v>
      </c>
      <c r="AK11" s="134">
        <f t="shared" si="9"/>
        <v>0</v>
      </c>
      <c r="AL11" s="6">
        <f t="shared" si="9"/>
        <v>0</v>
      </c>
      <c r="AM11" s="13"/>
      <c r="AN11" s="13"/>
      <c r="AO11" s="13">
        <f t="shared" si="4"/>
        <v>0</v>
      </c>
    </row>
    <row r="12" spans="1:42" x14ac:dyDescent="0.3">
      <c r="A12" s="6"/>
      <c r="B12" s="134"/>
      <c r="C12" s="6"/>
      <c r="D12" s="13"/>
      <c r="E12" s="13"/>
      <c r="F12" s="13">
        <f t="shared" si="10"/>
        <v>0</v>
      </c>
      <c r="H12" s="6">
        <f t="shared" si="5"/>
        <v>0</v>
      </c>
      <c r="I12" s="134">
        <f t="shared" si="5"/>
        <v>0</v>
      </c>
      <c r="J12" s="6">
        <f t="shared" si="5"/>
        <v>0</v>
      </c>
      <c r="K12" s="13"/>
      <c r="L12" s="13"/>
      <c r="M12" s="13">
        <f t="shared" si="11"/>
        <v>0</v>
      </c>
      <c r="O12" s="6">
        <f t="shared" si="6"/>
        <v>0</v>
      </c>
      <c r="P12" s="134">
        <f t="shared" si="6"/>
        <v>0</v>
      </c>
      <c r="Q12" s="6">
        <f t="shared" si="6"/>
        <v>0</v>
      </c>
      <c r="R12" s="13"/>
      <c r="S12" s="13"/>
      <c r="T12" s="13">
        <f t="shared" si="1"/>
        <v>0</v>
      </c>
      <c r="V12" s="6">
        <f t="shared" si="7"/>
        <v>0</v>
      </c>
      <c r="W12" s="134">
        <f t="shared" si="7"/>
        <v>0</v>
      </c>
      <c r="X12" s="6">
        <f t="shared" si="7"/>
        <v>0</v>
      </c>
      <c r="Y12" s="13"/>
      <c r="Z12" s="13"/>
      <c r="AA12" s="13">
        <f t="shared" si="2"/>
        <v>0</v>
      </c>
      <c r="AC12" s="6">
        <f t="shared" si="8"/>
        <v>0</v>
      </c>
      <c r="AD12" s="134">
        <f t="shared" si="8"/>
        <v>0</v>
      </c>
      <c r="AE12" s="6">
        <f t="shared" si="8"/>
        <v>0</v>
      </c>
      <c r="AF12" s="13"/>
      <c r="AG12" s="13"/>
      <c r="AH12" s="13">
        <f t="shared" si="3"/>
        <v>0</v>
      </c>
      <c r="AJ12" s="6">
        <f t="shared" si="9"/>
        <v>0</v>
      </c>
      <c r="AK12" s="134">
        <f t="shared" si="9"/>
        <v>0</v>
      </c>
      <c r="AL12" s="6">
        <f t="shared" si="9"/>
        <v>0</v>
      </c>
      <c r="AM12" s="13"/>
      <c r="AN12" s="13"/>
      <c r="AO12" s="13">
        <f t="shared" si="4"/>
        <v>0</v>
      </c>
    </row>
    <row r="13" spans="1:42" x14ac:dyDescent="0.3">
      <c r="A13" s="6"/>
      <c r="B13" s="134"/>
      <c r="C13" s="6"/>
      <c r="D13" s="13"/>
      <c r="E13" s="13"/>
      <c r="F13" s="13">
        <f t="shared" si="10"/>
        <v>0</v>
      </c>
      <c r="H13" s="6">
        <f t="shared" si="5"/>
        <v>0</v>
      </c>
      <c r="I13" s="134">
        <f t="shared" si="5"/>
        <v>0</v>
      </c>
      <c r="J13" s="6">
        <f t="shared" si="5"/>
        <v>0</v>
      </c>
      <c r="K13" s="13"/>
      <c r="L13" s="13"/>
      <c r="M13" s="13">
        <f t="shared" si="11"/>
        <v>0</v>
      </c>
      <c r="O13" s="6">
        <f t="shared" si="6"/>
        <v>0</v>
      </c>
      <c r="P13" s="134">
        <f t="shared" si="6"/>
        <v>0</v>
      </c>
      <c r="Q13" s="6">
        <f t="shared" si="6"/>
        <v>0</v>
      </c>
      <c r="R13" s="13"/>
      <c r="S13" s="13"/>
      <c r="T13" s="13">
        <f t="shared" si="1"/>
        <v>0</v>
      </c>
      <c r="V13" s="6">
        <f t="shared" si="7"/>
        <v>0</v>
      </c>
      <c r="W13" s="134">
        <f t="shared" si="7"/>
        <v>0</v>
      </c>
      <c r="X13" s="6">
        <f t="shared" si="7"/>
        <v>0</v>
      </c>
      <c r="Y13" s="13"/>
      <c r="Z13" s="13"/>
      <c r="AA13" s="13">
        <f t="shared" si="2"/>
        <v>0</v>
      </c>
      <c r="AC13" s="6">
        <f t="shared" si="8"/>
        <v>0</v>
      </c>
      <c r="AD13" s="134">
        <f t="shared" si="8"/>
        <v>0</v>
      </c>
      <c r="AE13" s="6">
        <f t="shared" si="8"/>
        <v>0</v>
      </c>
      <c r="AF13" s="13"/>
      <c r="AG13" s="13"/>
      <c r="AH13" s="13">
        <f t="shared" si="3"/>
        <v>0</v>
      </c>
      <c r="AJ13" s="6">
        <f t="shared" si="9"/>
        <v>0</v>
      </c>
      <c r="AK13" s="134">
        <f t="shared" si="9"/>
        <v>0</v>
      </c>
      <c r="AL13" s="6">
        <f t="shared" si="9"/>
        <v>0</v>
      </c>
      <c r="AM13" s="13"/>
      <c r="AN13" s="13"/>
      <c r="AO13" s="13">
        <f t="shared" si="4"/>
        <v>0</v>
      </c>
    </row>
    <row r="14" spans="1:42" x14ac:dyDescent="0.3">
      <c r="A14" s="6"/>
      <c r="B14" s="134"/>
      <c r="C14" s="6"/>
      <c r="D14" s="13"/>
      <c r="E14" s="13"/>
      <c r="F14" s="13">
        <f t="shared" si="10"/>
        <v>0</v>
      </c>
      <c r="H14" s="6">
        <f t="shared" si="5"/>
        <v>0</v>
      </c>
      <c r="I14" s="134">
        <f t="shared" si="5"/>
        <v>0</v>
      </c>
      <c r="J14" s="6">
        <f t="shared" si="5"/>
        <v>0</v>
      </c>
      <c r="K14" s="13"/>
      <c r="L14" s="13"/>
      <c r="M14" s="13">
        <f t="shared" si="11"/>
        <v>0</v>
      </c>
      <c r="O14" s="6">
        <f t="shared" si="6"/>
        <v>0</v>
      </c>
      <c r="P14" s="134">
        <f t="shared" si="6"/>
        <v>0</v>
      </c>
      <c r="Q14" s="6">
        <f t="shared" si="6"/>
        <v>0</v>
      </c>
      <c r="R14" s="13"/>
      <c r="S14" s="13"/>
      <c r="T14" s="13">
        <f t="shared" si="1"/>
        <v>0</v>
      </c>
      <c r="V14" s="6">
        <f t="shared" si="7"/>
        <v>0</v>
      </c>
      <c r="W14" s="134">
        <f t="shared" si="7"/>
        <v>0</v>
      </c>
      <c r="X14" s="6">
        <f t="shared" si="7"/>
        <v>0</v>
      </c>
      <c r="Y14" s="13"/>
      <c r="Z14" s="13"/>
      <c r="AA14" s="13">
        <f t="shared" si="2"/>
        <v>0</v>
      </c>
      <c r="AC14" s="6">
        <f t="shared" si="8"/>
        <v>0</v>
      </c>
      <c r="AD14" s="134">
        <f t="shared" si="8"/>
        <v>0</v>
      </c>
      <c r="AE14" s="6">
        <f t="shared" si="8"/>
        <v>0</v>
      </c>
      <c r="AF14" s="13"/>
      <c r="AG14" s="13"/>
      <c r="AH14" s="13">
        <f t="shared" si="3"/>
        <v>0</v>
      </c>
      <c r="AJ14" s="6">
        <f t="shared" si="9"/>
        <v>0</v>
      </c>
      <c r="AK14" s="134">
        <f t="shared" si="9"/>
        <v>0</v>
      </c>
      <c r="AL14" s="6">
        <f t="shared" si="9"/>
        <v>0</v>
      </c>
      <c r="AM14" s="13"/>
      <c r="AN14" s="13"/>
      <c r="AO14" s="13">
        <f t="shared" si="4"/>
        <v>0</v>
      </c>
    </row>
    <row r="15" spans="1:42" x14ac:dyDescent="0.3">
      <c r="A15" s="6"/>
      <c r="B15" s="134"/>
      <c r="C15" s="6"/>
      <c r="D15" s="13"/>
      <c r="E15" s="13"/>
      <c r="F15" s="13">
        <f t="shared" si="10"/>
        <v>0</v>
      </c>
      <c r="H15" s="6">
        <f t="shared" si="5"/>
        <v>0</v>
      </c>
      <c r="I15" s="134">
        <f t="shared" si="5"/>
        <v>0</v>
      </c>
      <c r="J15" s="6">
        <f t="shared" si="5"/>
        <v>0</v>
      </c>
      <c r="K15" s="13"/>
      <c r="L15" s="13"/>
      <c r="M15" s="13">
        <f t="shared" si="11"/>
        <v>0</v>
      </c>
      <c r="O15" s="6">
        <f t="shared" si="6"/>
        <v>0</v>
      </c>
      <c r="P15" s="134">
        <f t="shared" si="6"/>
        <v>0</v>
      </c>
      <c r="Q15" s="6">
        <f t="shared" si="6"/>
        <v>0</v>
      </c>
      <c r="R15" s="13"/>
      <c r="S15" s="13"/>
      <c r="T15" s="13">
        <f t="shared" si="1"/>
        <v>0</v>
      </c>
      <c r="V15" s="6">
        <f t="shared" si="7"/>
        <v>0</v>
      </c>
      <c r="W15" s="134">
        <f t="shared" si="7"/>
        <v>0</v>
      </c>
      <c r="X15" s="6">
        <f t="shared" si="7"/>
        <v>0</v>
      </c>
      <c r="Y15" s="13"/>
      <c r="Z15" s="13"/>
      <c r="AA15" s="13">
        <f t="shared" si="2"/>
        <v>0</v>
      </c>
      <c r="AC15" s="6">
        <f t="shared" si="8"/>
        <v>0</v>
      </c>
      <c r="AD15" s="134">
        <f t="shared" si="8"/>
        <v>0</v>
      </c>
      <c r="AE15" s="6">
        <f t="shared" si="8"/>
        <v>0</v>
      </c>
      <c r="AF15" s="13"/>
      <c r="AG15" s="13"/>
      <c r="AH15" s="13">
        <f t="shared" si="3"/>
        <v>0</v>
      </c>
      <c r="AJ15" s="6">
        <f t="shared" si="9"/>
        <v>0</v>
      </c>
      <c r="AK15" s="134">
        <f t="shared" si="9"/>
        <v>0</v>
      </c>
      <c r="AL15" s="6">
        <f t="shared" si="9"/>
        <v>0</v>
      </c>
      <c r="AM15" s="13"/>
      <c r="AN15" s="13"/>
      <c r="AO15" s="13">
        <f t="shared" si="4"/>
        <v>0</v>
      </c>
    </row>
    <row r="16" spans="1:42" x14ac:dyDescent="0.3">
      <c r="A16" s="163"/>
      <c r="B16" s="134"/>
      <c r="C16" s="6"/>
      <c r="D16" s="13"/>
      <c r="E16" s="13"/>
      <c r="F16" s="13">
        <f t="shared" si="10"/>
        <v>0</v>
      </c>
      <c r="H16" s="6">
        <f t="shared" si="5"/>
        <v>0</v>
      </c>
      <c r="I16" s="134">
        <f t="shared" si="5"/>
        <v>0</v>
      </c>
      <c r="J16" s="6">
        <f t="shared" si="5"/>
        <v>0</v>
      </c>
      <c r="K16" s="13"/>
      <c r="L16" s="13"/>
      <c r="M16" s="13">
        <f t="shared" si="11"/>
        <v>0</v>
      </c>
      <c r="O16" s="6">
        <f t="shared" si="6"/>
        <v>0</v>
      </c>
      <c r="P16" s="134">
        <f t="shared" si="6"/>
        <v>0</v>
      </c>
      <c r="Q16" s="6">
        <f t="shared" si="6"/>
        <v>0</v>
      </c>
      <c r="R16" s="13"/>
      <c r="S16" s="13"/>
      <c r="T16" s="13">
        <f t="shared" si="1"/>
        <v>0</v>
      </c>
      <c r="V16" s="6">
        <f t="shared" si="7"/>
        <v>0</v>
      </c>
      <c r="W16" s="134">
        <f t="shared" si="7"/>
        <v>0</v>
      </c>
      <c r="X16" s="6">
        <f t="shared" si="7"/>
        <v>0</v>
      </c>
      <c r="Y16" s="13"/>
      <c r="Z16" s="13"/>
      <c r="AA16" s="13">
        <f t="shared" si="2"/>
        <v>0</v>
      </c>
      <c r="AC16" s="6">
        <f t="shared" si="8"/>
        <v>0</v>
      </c>
      <c r="AD16" s="134">
        <f t="shared" si="8"/>
        <v>0</v>
      </c>
      <c r="AE16" s="6">
        <f t="shared" si="8"/>
        <v>0</v>
      </c>
      <c r="AF16" s="13"/>
      <c r="AG16" s="13"/>
      <c r="AH16" s="13">
        <f t="shared" si="3"/>
        <v>0</v>
      </c>
      <c r="AJ16" s="6">
        <f t="shared" si="9"/>
        <v>0</v>
      </c>
      <c r="AK16" s="134">
        <f t="shared" si="9"/>
        <v>0</v>
      </c>
      <c r="AL16" s="6">
        <f t="shared" si="9"/>
        <v>0</v>
      </c>
      <c r="AM16" s="13"/>
      <c r="AN16" s="13"/>
      <c r="AO16" s="13">
        <f t="shared" si="4"/>
        <v>0</v>
      </c>
    </row>
    <row r="17" spans="1:41" x14ac:dyDescent="0.3">
      <c r="A17" s="6"/>
      <c r="B17" s="134"/>
      <c r="C17" s="6"/>
      <c r="D17" s="13"/>
      <c r="E17" s="13"/>
      <c r="F17" s="13">
        <f t="shared" si="10"/>
        <v>0</v>
      </c>
      <c r="H17" s="6">
        <f t="shared" si="5"/>
        <v>0</v>
      </c>
      <c r="I17" s="134">
        <f t="shared" si="5"/>
        <v>0</v>
      </c>
      <c r="J17" s="6">
        <f t="shared" si="5"/>
        <v>0</v>
      </c>
      <c r="K17" s="13"/>
      <c r="L17" s="13"/>
      <c r="M17" s="13">
        <f t="shared" si="11"/>
        <v>0</v>
      </c>
      <c r="N17" s="144"/>
      <c r="O17" s="6">
        <f t="shared" si="6"/>
        <v>0</v>
      </c>
      <c r="P17" s="134">
        <f t="shared" si="6"/>
        <v>0</v>
      </c>
      <c r="Q17" s="6">
        <f t="shared" si="6"/>
        <v>0</v>
      </c>
      <c r="R17" s="13"/>
      <c r="S17" s="13"/>
      <c r="T17" s="13">
        <f t="shared" si="1"/>
        <v>0</v>
      </c>
      <c r="U17" s="144"/>
      <c r="V17" s="6">
        <f t="shared" si="7"/>
        <v>0</v>
      </c>
      <c r="W17" s="134">
        <f t="shared" si="7"/>
        <v>0</v>
      </c>
      <c r="X17" s="6">
        <f t="shared" si="7"/>
        <v>0</v>
      </c>
      <c r="Y17" s="13"/>
      <c r="Z17" s="13"/>
      <c r="AA17" s="13">
        <f t="shared" si="2"/>
        <v>0</v>
      </c>
      <c r="AB17" s="144"/>
      <c r="AC17" s="6">
        <f t="shared" si="8"/>
        <v>0</v>
      </c>
      <c r="AD17" s="134">
        <f t="shared" si="8"/>
        <v>0</v>
      </c>
      <c r="AE17" s="6">
        <f t="shared" si="8"/>
        <v>0</v>
      </c>
      <c r="AF17" s="13"/>
      <c r="AG17" s="13"/>
      <c r="AH17" s="13">
        <f t="shared" si="3"/>
        <v>0</v>
      </c>
      <c r="AI17" s="144"/>
      <c r="AJ17" s="6">
        <f t="shared" si="9"/>
        <v>0</v>
      </c>
      <c r="AK17" s="134">
        <f t="shared" si="9"/>
        <v>0</v>
      </c>
      <c r="AL17" s="6">
        <f t="shared" si="9"/>
        <v>0</v>
      </c>
      <c r="AM17" s="13"/>
      <c r="AN17" s="13"/>
      <c r="AO17" s="13">
        <f t="shared" si="4"/>
        <v>0</v>
      </c>
    </row>
    <row r="18" spans="1:41" x14ac:dyDescent="0.3">
      <c r="A18" s="163"/>
      <c r="B18" s="134"/>
      <c r="C18" s="6"/>
      <c r="D18" s="13"/>
      <c r="E18" s="13"/>
      <c r="F18" s="13">
        <f t="shared" si="10"/>
        <v>0</v>
      </c>
      <c r="H18" s="6">
        <f t="shared" si="5"/>
        <v>0</v>
      </c>
      <c r="I18" s="134">
        <f t="shared" si="5"/>
        <v>0</v>
      </c>
      <c r="J18" s="6">
        <f t="shared" si="5"/>
        <v>0</v>
      </c>
      <c r="K18" s="13"/>
      <c r="L18" s="13"/>
      <c r="M18" s="13">
        <f t="shared" si="11"/>
        <v>0</v>
      </c>
      <c r="N18" s="144"/>
      <c r="O18" s="6">
        <f t="shared" si="6"/>
        <v>0</v>
      </c>
      <c r="P18" s="134">
        <f t="shared" si="6"/>
        <v>0</v>
      </c>
      <c r="Q18" s="6">
        <f t="shared" si="6"/>
        <v>0</v>
      </c>
      <c r="R18" s="13"/>
      <c r="S18" s="13"/>
      <c r="T18" s="13">
        <f t="shared" si="1"/>
        <v>0</v>
      </c>
      <c r="U18" s="144"/>
      <c r="V18" s="6">
        <f t="shared" si="7"/>
        <v>0</v>
      </c>
      <c r="W18" s="134">
        <f t="shared" si="7"/>
        <v>0</v>
      </c>
      <c r="X18" s="6">
        <f t="shared" si="7"/>
        <v>0</v>
      </c>
      <c r="Y18" s="13"/>
      <c r="Z18" s="13"/>
      <c r="AA18" s="13">
        <f t="shared" si="2"/>
        <v>0</v>
      </c>
      <c r="AB18" s="144"/>
      <c r="AC18" s="6">
        <f t="shared" si="8"/>
        <v>0</v>
      </c>
      <c r="AD18" s="134">
        <f t="shared" si="8"/>
        <v>0</v>
      </c>
      <c r="AE18" s="6">
        <f t="shared" si="8"/>
        <v>0</v>
      </c>
      <c r="AF18" s="13"/>
      <c r="AG18" s="13"/>
      <c r="AH18" s="13">
        <f t="shared" si="3"/>
        <v>0</v>
      </c>
      <c r="AI18" s="144"/>
      <c r="AJ18" s="6">
        <f t="shared" si="9"/>
        <v>0</v>
      </c>
      <c r="AK18" s="134">
        <f t="shared" si="9"/>
        <v>0</v>
      </c>
      <c r="AL18" s="6">
        <f t="shared" si="9"/>
        <v>0</v>
      </c>
      <c r="AM18" s="13"/>
      <c r="AN18" s="13"/>
      <c r="AO18" s="13">
        <f t="shared" si="4"/>
        <v>0</v>
      </c>
    </row>
    <row r="19" spans="1:41" x14ac:dyDescent="0.3">
      <c r="A19" s="6"/>
      <c r="B19" s="134"/>
      <c r="C19" s="6"/>
      <c r="D19" s="13"/>
      <c r="E19" s="13"/>
      <c r="F19" s="13">
        <f t="shared" si="10"/>
        <v>0</v>
      </c>
      <c r="H19" s="6">
        <f t="shared" si="5"/>
        <v>0</v>
      </c>
      <c r="I19" s="134">
        <f t="shared" si="5"/>
        <v>0</v>
      </c>
      <c r="J19" s="6">
        <f t="shared" si="5"/>
        <v>0</v>
      </c>
      <c r="K19" s="13"/>
      <c r="L19" s="13"/>
      <c r="M19" s="13">
        <f t="shared" si="11"/>
        <v>0</v>
      </c>
      <c r="N19" s="144"/>
      <c r="O19" s="6">
        <f t="shared" si="6"/>
        <v>0</v>
      </c>
      <c r="P19" s="134">
        <f t="shared" si="6"/>
        <v>0</v>
      </c>
      <c r="Q19" s="6">
        <f t="shared" si="6"/>
        <v>0</v>
      </c>
      <c r="R19" s="13"/>
      <c r="S19" s="13"/>
      <c r="T19" s="13">
        <f t="shared" si="1"/>
        <v>0</v>
      </c>
      <c r="V19" s="6">
        <f t="shared" si="7"/>
        <v>0</v>
      </c>
      <c r="W19" s="134">
        <f t="shared" si="7"/>
        <v>0</v>
      </c>
      <c r="X19" s="6">
        <f t="shared" si="7"/>
        <v>0</v>
      </c>
      <c r="Y19" s="13"/>
      <c r="Z19" s="13"/>
      <c r="AA19" s="13">
        <f t="shared" si="2"/>
        <v>0</v>
      </c>
      <c r="AC19" s="6">
        <f t="shared" si="8"/>
        <v>0</v>
      </c>
      <c r="AD19" s="134">
        <f t="shared" si="8"/>
        <v>0</v>
      </c>
      <c r="AE19" s="6">
        <f t="shared" si="8"/>
        <v>0</v>
      </c>
      <c r="AF19" s="13"/>
      <c r="AG19" s="13"/>
      <c r="AH19" s="13">
        <f t="shared" si="3"/>
        <v>0</v>
      </c>
      <c r="AJ19" s="6">
        <f t="shared" si="9"/>
        <v>0</v>
      </c>
      <c r="AK19" s="134">
        <f t="shared" si="9"/>
        <v>0</v>
      </c>
      <c r="AL19" s="6">
        <f t="shared" si="9"/>
        <v>0</v>
      </c>
      <c r="AM19" s="13"/>
      <c r="AN19" s="13"/>
      <c r="AO19" s="13">
        <f t="shared" si="4"/>
        <v>0</v>
      </c>
    </row>
    <row r="20" spans="1:41" x14ac:dyDescent="0.3">
      <c r="A20" s="6"/>
      <c r="B20" s="134"/>
      <c r="C20" s="6"/>
      <c r="D20" s="13"/>
      <c r="E20" s="13"/>
      <c r="F20" s="13">
        <f t="shared" si="10"/>
        <v>0</v>
      </c>
      <c r="H20" s="6">
        <f t="shared" si="5"/>
        <v>0</v>
      </c>
      <c r="I20" s="134">
        <f t="shared" si="5"/>
        <v>0</v>
      </c>
      <c r="J20" s="6">
        <f t="shared" si="5"/>
        <v>0</v>
      </c>
      <c r="K20" s="13"/>
      <c r="L20" s="13"/>
      <c r="M20" s="13">
        <f t="shared" si="11"/>
        <v>0</v>
      </c>
      <c r="O20" s="6">
        <f t="shared" si="6"/>
        <v>0</v>
      </c>
      <c r="P20" s="134">
        <f t="shared" si="6"/>
        <v>0</v>
      </c>
      <c r="Q20" s="6">
        <f t="shared" si="6"/>
        <v>0</v>
      </c>
      <c r="R20" s="13"/>
      <c r="S20" s="13"/>
      <c r="T20" s="13">
        <f t="shared" si="1"/>
        <v>0</v>
      </c>
      <c r="V20" s="6">
        <f t="shared" si="7"/>
        <v>0</v>
      </c>
      <c r="W20" s="134">
        <f t="shared" si="7"/>
        <v>0</v>
      </c>
      <c r="X20" s="6">
        <f t="shared" si="7"/>
        <v>0</v>
      </c>
      <c r="Y20" s="13"/>
      <c r="Z20" s="13"/>
      <c r="AA20" s="13">
        <f t="shared" si="2"/>
        <v>0</v>
      </c>
      <c r="AC20" s="6">
        <f t="shared" si="8"/>
        <v>0</v>
      </c>
      <c r="AD20" s="134">
        <f t="shared" si="8"/>
        <v>0</v>
      </c>
      <c r="AE20" s="6">
        <f t="shared" si="8"/>
        <v>0</v>
      </c>
      <c r="AF20" s="13"/>
      <c r="AG20" s="13"/>
      <c r="AH20" s="13">
        <f t="shared" si="3"/>
        <v>0</v>
      </c>
      <c r="AJ20" s="6">
        <f t="shared" si="9"/>
        <v>0</v>
      </c>
      <c r="AK20" s="134">
        <f t="shared" si="9"/>
        <v>0</v>
      </c>
      <c r="AL20" s="6">
        <f t="shared" si="9"/>
        <v>0</v>
      </c>
      <c r="AM20" s="13"/>
      <c r="AN20" s="13"/>
      <c r="AO20" s="13">
        <f t="shared" si="4"/>
        <v>0</v>
      </c>
    </row>
    <row r="21" spans="1:41" x14ac:dyDescent="0.3">
      <c r="A21" s="6"/>
      <c r="B21" s="134"/>
      <c r="C21" s="6"/>
      <c r="D21" s="13"/>
      <c r="E21" s="13"/>
      <c r="F21" s="13">
        <f t="shared" si="10"/>
        <v>0</v>
      </c>
      <c r="H21" s="6">
        <f t="shared" si="5"/>
        <v>0</v>
      </c>
      <c r="I21" s="134">
        <f t="shared" si="5"/>
        <v>0</v>
      </c>
      <c r="J21" s="6">
        <f t="shared" si="5"/>
        <v>0</v>
      </c>
      <c r="K21" s="13"/>
      <c r="L21" s="13"/>
      <c r="M21" s="13">
        <f t="shared" si="11"/>
        <v>0</v>
      </c>
      <c r="O21" s="6">
        <f t="shared" si="6"/>
        <v>0</v>
      </c>
      <c r="P21" s="134">
        <f t="shared" si="6"/>
        <v>0</v>
      </c>
      <c r="Q21" s="6">
        <f t="shared" si="6"/>
        <v>0</v>
      </c>
      <c r="R21" s="13"/>
      <c r="S21" s="13"/>
      <c r="T21" s="13">
        <f t="shared" si="1"/>
        <v>0</v>
      </c>
      <c r="V21" s="6">
        <f t="shared" si="7"/>
        <v>0</v>
      </c>
      <c r="W21" s="134">
        <f t="shared" si="7"/>
        <v>0</v>
      </c>
      <c r="X21" s="6">
        <f t="shared" si="7"/>
        <v>0</v>
      </c>
      <c r="Y21" s="13"/>
      <c r="Z21" s="13"/>
      <c r="AA21" s="13">
        <f t="shared" si="2"/>
        <v>0</v>
      </c>
      <c r="AC21" s="6">
        <f t="shared" si="8"/>
        <v>0</v>
      </c>
      <c r="AD21" s="134">
        <f t="shared" si="8"/>
        <v>0</v>
      </c>
      <c r="AE21" s="6">
        <f t="shared" si="8"/>
        <v>0</v>
      </c>
      <c r="AF21" s="13"/>
      <c r="AG21" s="13"/>
      <c r="AH21" s="13">
        <f t="shared" si="3"/>
        <v>0</v>
      </c>
      <c r="AJ21" s="6">
        <f t="shared" si="9"/>
        <v>0</v>
      </c>
      <c r="AK21" s="134">
        <f t="shared" si="9"/>
        <v>0</v>
      </c>
      <c r="AL21" s="6">
        <f t="shared" si="9"/>
        <v>0</v>
      </c>
      <c r="AM21" s="13"/>
      <c r="AN21" s="13"/>
      <c r="AO21" s="13">
        <f t="shared" si="4"/>
        <v>0</v>
      </c>
    </row>
    <row r="22" spans="1:41" x14ac:dyDescent="0.3">
      <c r="A22" s="6"/>
      <c r="B22" s="134"/>
      <c r="C22" s="6"/>
      <c r="D22" s="13"/>
      <c r="E22" s="13"/>
      <c r="F22" s="13">
        <f t="shared" si="10"/>
        <v>0</v>
      </c>
      <c r="H22" s="6">
        <f t="shared" si="5"/>
        <v>0</v>
      </c>
      <c r="I22" s="134">
        <f t="shared" si="5"/>
        <v>0</v>
      </c>
      <c r="J22" s="6">
        <f t="shared" si="5"/>
        <v>0</v>
      </c>
      <c r="K22" s="13"/>
      <c r="L22" s="13"/>
      <c r="M22" s="13">
        <f t="shared" si="11"/>
        <v>0</v>
      </c>
      <c r="O22" s="6">
        <f t="shared" si="6"/>
        <v>0</v>
      </c>
      <c r="P22" s="134">
        <f t="shared" si="6"/>
        <v>0</v>
      </c>
      <c r="Q22" s="6">
        <f t="shared" si="6"/>
        <v>0</v>
      </c>
      <c r="R22" s="13"/>
      <c r="S22" s="13"/>
      <c r="T22" s="13">
        <f t="shared" si="1"/>
        <v>0</v>
      </c>
      <c r="V22" s="6">
        <f t="shared" si="7"/>
        <v>0</v>
      </c>
      <c r="W22" s="134">
        <f t="shared" si="7"/>
        <v>0</v>
      </c>
      <c r="X22" s="6">
        <f t="shared" si="7"/>
        <v>0</v>
      </c>
      <c r="Y22" s="13"/>
      <c r="Z22" s="13"/>
      <c r="AA22" s="13">
        <f t="shared" si="2"/>
        <v>0</v>
      </c>
      <c r="AC22" s="6">
        <f t="shared" si="8"/>
        <v>0</v>
      </c>
      <c r="AD22" s="134">
        <f t="shared" si="8"/>
        <v>0</v>
      </c>
      <c r="AE22" s="6">
        <f t="shared" si="8"/>
        <v>0</v>
      </c>
      <c r="AF22" s="13"/>
      <c r="AG22" s="13"/>
      <c r="AH22" s="13">
        <f t="shared" si="3"/>
        <v>0</v>
      </c>
      <c r="AJ22" s="6">
        <f t="shared" si="9"/>
        <v>0</v>
      </c>
      <c r="AK22" s="134">
        <f t="shared" si="9"/>
        <v>0</v>
      </c>
      <c r="AL22" s="6">
        <f t="shared" si="9"/>
        <v>0</v>
      </c>
      <c r="AM22" s="13"/>
      <c r="AN22" s="13"/>
      <c r="AO22" s="13">
        <f t="shared" si="4"/>
        <v>0</v>
      </c>
    </row>
    <row r="23" spans="1:41" x14ac:dyDescent="0.3">
      <c r="A23" s="6"/>
      <c r="B23" s="134"/>
      <c r="C23" s="6"/>
      <c r="D23" s="13"/>
      <c r="E23" s="13"/>
      <c r="F23" s="13">
        <f t="shared" si="10"/>
        <v>0</v>
      </c>
      <c r="H23" s="6">
        <f t="shared" si="5"/>
        <v>0</v>
      </c>
      <c r="I23" s="134">
        <f t="shared" si="5"/>
        <v>0</v>
      </c>
      <c r="J23" s="6">
        <f t="shared" si="5"/>
        <v>0</v>
      </c>
      <c r="K23" s="13"/>
      <c r="L23" s="13"/>
      <c r="M23" s="13">
        <f t="shared" si="11"/>
        <v>0</v>
      </c>
      <c r="O23" s="6">
        <f t="shared" si="6"/>
        <v>0</v>
      </c>
      <c r="P23" s="134">
        <f t="shared" si="6"/>
        <v>0</v>
      </c>
      <c r="Q23" s="6">
        <f t="shared" si="6"/>
        <v>0</v>
      </c>
      <c r="R23" s="13"/>
      <c r="S23" s="13"/>
      <c r="T23" s="13">
        <f t="shared" si="1"/>
        <v>0</v>
      </c>
      <c r="V23" s="6">
        <f t="shared" si="7"/>
        <v>0</v>
      </c>
      <c r="W23" s="134">
        <f t="shared" si="7"/>
        <v>0</v>
      </c>
      <c r="X23" s="6">
        <f t="shared" si="7"/>
        <v>0</v>
      </c>
      <c r="Y23" s="13"/>
      <c r="Z23" s="13"/>
      <c r="AA23" s="13">
        <f t="shared" si="2"/>
        <v>0</v>
      </c>
      <c r="AC23" s="6">
        <f t="shared" si="8"/>
        <v>0</v>
      </c>
      <c r="AD23" s="134">
        <f t="shared" si="8"/>
        <v>0</v>
      </c>
      <c r="AE23" s="6">
        <f t="shared" si="8"/>
        <v>0</v>
      </c>
      <c r="AF23" s="13"/>
      <c r="AG23" s="13"/>
      <c r="AH23" s="13">
        <f t="shared" si="3"/>
        <v>0</v>
      </c>
      <c r="AJ23" s="6">
        <f t="shared" si="9"/>
        <v>0</v>
      </c>
      <c r="AK23" s="134">
        <f t="shared" si="9"/>
        <v>0</v>
      </c>
      <c r="AL23" s="6">
        <f t="shared" si="9"/>
        <v>0</v>
      </c>
      <c r="AM23" s="13"/>
      <c r="AN23" s="13"/>
      <c r="AO23" s="13">
        <f t="shared" si="4"/>
        <v>0</v>
      </c>
    </row>
    <row r="24" spans="1:41" x14ac:dyDescent="0.3">
      <c r="A24" s="6"/>
      <c r="B24" s="134"/>
      <c r="C24" s="6"/>
      <c r="D24" s="13"/>
      <c r="E24" s="13"/>
      <c r="F24" s="13">
        <f t="shared" ref="F24" si="12">SUM(D24:E24)</f>
        <v>0</v>
      </c>
      <c r="H24" s="6">
        <f t="shared" si="5"/>
        <v>0</v>
      </c>
      <c r="I24" s="134">
        <f t="shared" si="5"/>
        <v>0</v>
      </c>
      <c r="J24" s="6">
        <f t="shared" si="5"/>
        <v>0</v>
      </c>
      <c r="K24" s="13"/>
      <c r="L24" s="13"/>
      <c r="M24" s="13">
        <f t="shared" si="11"/>
        <v>0</v>
      </c>
      <c r="O24" s="6">
        <f t="shared" si="6"/>
        <v>0</v>
      </c>
      <c r="P24" s="134">
        <f t="shared" si="6"/>
        <v>0</v>
      </c>
      <c r="Q24" s="6">
        <f t="shared" si="6"/>
        <v>0</v>
      </c>
      <c r="R24" s="13"/>
      <c r="S24" s="13"/>
      <c r="T24" s="13">
        <f t="shared" si="1"/>
        <v>0</v>
      </c>
      <c r="V24" s="6">
        <f t="shared" si="7"/>
        <v>0</v>
      </c>
      <c r="W24" s="134">
        <f t="shared" si="7"/>
        <v>0</v>
      </c>
      <c r="X24" s="6">
        <f t="shared" si="7"/>
        <v>0</v>
      </c>
      <c r="Y24" s="13"/>
      <c r="Z24" s="13"/>
      <c r="AA24" s="13">
        <f t="shared" si="2"/>
        <v>0</v>
      </c>
      <c r="AC24" s="6">
        <f t="shared" si="8"/>
        <v>0</v>
      </c>
      <c r="AD24" s="134">
        <f t="shared" si="8"/>
        <v>0</v>
      </c>
      <c r="AE24" s="6">
        <f t="shared" si="8"/>
        <v>0</v>
      </c>
      <c r="AF24" s="13"/>
      <c r="AG24" s="13"/>
      <c r="AH24" s="13">
        <f t="shared" si="3"/>
        <v>0</v>
      </c>
      <c r="AJ24" s="6">
        <f t="shared" si="9"/>
        <v>0</v>
      </c>
      <c r="AK24" s="134">
        <f t="shared" si="9"/>
        <v>0</v>
      </c>
      <c r="AL24" s="6">
        <f t="shared" si="9"/>
        <v>0</v>
      </c>
      <c r="AM24" s="13"/>
      <c r="AN24" s="13"/>
      <c r="AO24" s="13">
        <f t="shared" si="4"/>
        <v>0</v>
      </c>
    </row>
    <row r="25" spans="1:41" x14ac:dyDescent="0.3">
      <c r="A25" s="6"/>
      <c r="B25" s="134"/>
      <c r="C25" s="6"/>
      <c r="D25" s="13"/>
      <c r="E25" s="13"/>
      <c r="F25" s="13">
        <f t="shared" ref="F25:F26" si="13">SUM(D25:E25)</f>
        <v>0</v>
      </c>
      <c r="H25" s="6">
        <f t="shared" si="5"/>
        <v>0</v>
      </c>
      <c r="I25" s="134">
        <f t="shared" si="5"/>
        <v>0</v>
      </c>
      <c r="J25" s="6">
        <f t="shared" si="5"/>
        <v>0</v>
      </c>
      <c r="K25" s="13"/>
      <c r="L25" s="13"/>
      <c r="M25" s="13">
        <f t="shared" si="11"/>
        <v>0</v>
      </c>
      <c r="O25" s="6">
        <f t="shared" si="6"/>
        <v>0</v>
      </c>
      <c r="P25" s="134">
        <f t="shared" si="6"/>
        <v>0</v>
      </c>
      <c r="Q25" s="6">
        <f t="shared" si="6"/>
        <v>0</v>
      </c>
      <c r="R25" s="13"/>
      <c r="S25" s="13"/>
      <c r="T25" s="13">
        <f t="shared" si="1"/>
        <v>0</v>
      </c>
      <c r="V25" s="6">
        <f t="shared" si="7"/>
        <v>0</v>
      </c>
      <c r="W25" s="134">
        <f t="shared" si="7"/>
        <v>0</v>
      </c>
      <c r="X25" s="6">
        <f t="shared" si="7"/>
        <v>0</v>
      </c>
      <c r="Y25" s="13"/>
      <c r="Z25" s="13"/>
      <c r="AA25" s="13">
        <f t="shared" si="2"/>
        <v>0</v>
      </c>
      <c r="AC25" s="6">
        <f t="shared" si="8"/>
        <v>0</v>
      </c>
      <c r="AD25" s="134">
        <f t="shared" si="8"/>
        <v>0</v>
      </c>
      <c r="AE25" s="6">
        <f t="shared" si="8"/>
        <v>0</v>
      </c>
      <c r="AF25" s="13"/>
      <c r="AG25" s="13"/>
      <c r="AH25" s="13">
        <f t="shared" si="3"/>
        <v>0</v>
      </c>
      <c r="AJ25" s="6">
        <f t="shared" si="9"/>
        <v>0</v>
      </c>
      <c r="AK25" s="134">
        <f t="shared" si="9"/>
        <v>0</v>
      </c>
      <c r="AL25" s="6">
        <f t="shared" si="9"/>
        <v>0</v>
      </c>
      <c r="AM25" s="13"/>
      <c r="AN25" s="13"/>
      <c r="AO25" s="13">
        <f t="shared" si="4"/>
        <v>0</v>
      </c>
    </row>
    <row r="26" spans="1:41" x14ac:dyDescent="0.3">
      <c r="A26" s="6"/>
      <c r="B26" s="134"/>
      <c r="C26" s="6"/>
      <c r="D26" s="13"/>
      <c r="E26" s="13"/>
      <c r="F26" s="13">
        <f t="shared" si="13"/>
        <v>0</v>
      </c>
      <c r="H26" s="6">
        <f t="shared" si="5"/>
        <v>0</v>
      </c>
      <c r="I26" s="134">
        <f t="shared" si="5"/>
        <v>0</v>
      </c>
      <c r="J26" s="6">
        <f t="shared" si="5"/>
        <v>0</v>
      </c>
      <c r="K26" s="13"/>
      <c r="L26" s="13"/>
      <c r="M26" s="13">
        <f t="shared" si="11"/>
        <v>0</v>
      </c>
      <c r="O26" s="6">
        <f t="shared" si="6"/>
        <v>0</v>
      </c>
      <c r="P26" s="134">
        <f t="shared" si="6"/>
        <v>0</v>
      </c>
      <c r="Q26" s="6">
        <f t="shared" si="6"/>
        <v>0</v>
      </c>
      <c r="R26" s="13"/>
      <c r="S26" s="13"/>
      <c r="T26" s="13">
        <f t="shared" si="1"/>
        <v>0</v>
      </c>
      <c r="V26" s="6">
        <f t="shared" si="7"/>
        <v>0</v>
      </c>
      <c r="W26" s="134">
        <f t="shared" si="7"/>
        <v>0</v>
      </c>
      <c r="X26" s="6">
        <f t="shared" si="7"/>
        <v>0</v>
      </c>
      <c r="Y26" s="13"/>
      <c r="Z26" s="13"/>
      <c r="AA26" s="13">
        <f t="shared" si="2"/>
        <v>0</v>
      </c>
      <c r="AC26" s="6">
        <f t="shared" si="8"/>
        <v>0</v>
      </c>
      <c r="AD26" s="134">
        <f t="shared" si="8"/>
        <v>0</v>
      </c>
      <c r="AE26" s="6">
        <f t="shared" si="8"/>
        <v>0</v>
      </c>
      <c r="AF26" s="13"/>
      <c r="AG26" s="13"/>
      <c r="AH26" s="13">
        <f t="shared" si="3"/>
        <v>0</v>
      </c>
      <c r="AJ26" s="6">
        <f t="shared" si="9"/>
        <v>0</v>
      </c>
      <c r="AK26" s="134">
        <f t="shared" si="9"/>
        <v>0</v>
      </c>
      <c r="AL26" s="6">
        <f t="shared" si="9"/>
        <v>0</v>
      </c>
      <c r="AM26" s="13"/>
      <c r="AN26" s="13"/>
      <c r="AO26" s="13">
        <f t="shared" si="4"/>
        <v>0</v>
      </c>
    </row>
    <row r="27" spans="1:41" x14ac:dyDescent="0.3">
      <c r="A27" s="6"/>
      <c r="B27" s="134"/>
      <c r="C27" s="6"/>
      <c r="D27" s="13"/>
      <c r="E27" s="13"/>
      <c r="F27" s="13">
        <f t="shared" si="10"/>
        <v>0</v>
      </c>
      <c r="H27" s="6">
        <f t="shared" si="5"/>
        <v>0</v>
      </c>
      <c r="I27" s="134">
        <f t="shared" si="5"/>
        <v>0</v>
      </c>
      <c r="J27" s="6">
        <f t="shared" si="5"/>
        <v>0</v>
      </c>
      <c r="K27" s="13"/>
      <c r="L27" s="13"/>
      <c r="M27" s="13">
        <f t="shared" si="11"/>
        <v>0</v>
      </c>
      <c r="O27" s="6">
        <f t="shared" si="6"/>
        <v>0</v>
      </c>
      <c r="P27" s="134">
        <f t="shared" si="6"/>
        <v>0</v>
      </c>
      <c r="Q27" s="6">
        <f t="shared" si="6"/>
        <v>0</v>
      </c>
      <c r="R27" s="13"/>
      <c r="S27" s="13"/>
      <c r="T27" s="13">
        <f t="shared" si="1"/>
        <v>0</v>
      </c>
      <c r="V27" s="6">
        <f t="shared" si="7"/>
        <v>0</v>
      </c>
      <c r="W27" s="134">
        <f t="shared" si="7"/>
        <v>0</v>
      </c>
      <c r="X27" s="6">
        <f t="shared" si="7"/>
        <v>0</v>
      </c>
      <c r="Y27" s="13"/>
      <c r="Z27" s="13"/>
      <c r="AA27" s="13">
        <f t="shared" si="2"/>
        <v>0</v>
      </c>
      <c r="AC27" s="6">
        <f t="shared" si="8"/>
        <v>0</v>
      </c>
      <c r="AD27" s="134">
        <f t="shared" si="8"/>
        <v>0</v>
      </c>
      <c r="AE27" s="6">
        <f t="shared" si="8"/>
        <v>0</v>
      </c>
      <c r="AF27" s="13"/>
      <c r="AG27" s="13"/>
      <c r="AH27" s="13">
        <f t="shared" si="3"/>
        <v>0</v>
      </c>
      <c r="AJ27" s="6">
        <f t="shared" si="9"/>
        <v>0</v>
      </c>
      <c r="AK27" s="134">
        <f t="shared" si="9"/>
        <v>0</v>
      </c>
      <c r="AL27" s="6">
        <f t="shared" si="9"/>
        <v>0</v>
      </c>
      <c r="AM27" s="13"/>
      <c r="AN27" s="13"/>
      <c r="AO27" s="13">
        <f t="shared" si="4"/>
        <v>0</v>
      </c>
    </row>
    <row r="28" spans="1:41" x14ac:dyDescent="0.3">
      <c r="A28" s="6"/>
      <c r="B28" s="134"/>
      <c r="C28" s="6"/>
      <c r="D28" s="13"/>
      <c r="E28" s="13"/>
      <c r="F28" s="13">
        <f t="shared" ref="F28:F43" si="14">SUM(D28:E28)</f>
        <v>0</v>
      </c>
      <c r="H28" s="6">
        <f t="shared" si="5"/>
        <v>0</v>
      </c>
      <c r="I28" s="134">
        <f t="shared" si="5"/>
        <v>0</v>
      </c>
      <c r="J28" s="6">
        <f t="shared" si="5"/>
        <v>0</v>
      </c>
      <c r="K28" s="13"/>
      <c r="L28" s="13"/>
      <c r="M28" s="13">
        <f t="shared" si="11"/>
        <v>0</v>
      </c>
      <c r="O28" s="6">
        <f t="shared" si="6"/>
        <v>0</v>
      </c>
      <c r="P28" s="134">
        <f t="shared" si="6"/>
        <v>0</v>
      </c>
      <c r="Q28" s="6">
        <f t="shared" si="6"/>
        <v>0</v>
      </c>
      <c r="R28" s="13"/>
      <c r="S28" s="13"/>
      <c r="T28" s="13">
        <f t="shared" ref="T28:T57" si="15">SUM(R28:S28)</f>
        <v>0</v>
      </c>
      <c r="V28" s="6">
        <f t="shared" si="7"/>
        <v>0</v>
      </c>
      <c r="W28" s="134">
        <f t="shared" si="7"/>
        <v>0</v>
      </c>
      <c r="X28" s="6">
        <f t="shared" si="7"/>
        <v>0</v>
      </c>
      <c r="Y28" s="13"/>
      <c r="Z28" s="13"/>
      <c r="AA28" s="13">
        <f t="shared" ref="AA28:AA58" si="16">SUM(Y28:Z28)</f>
        <v>0</v>
      </c>
      <c r="AC28" s="6">
        <f t="shared" si="8"/>
        <v>0</v>
      </c>
      <c r="AD28" s="134">
        <f t="shared" si="8"/>
        <v>0</v>
      </c>
      <c r="AE28" s="6">
        <f t="shared" si="8"/>
        <v>0</v>
      </c>
      <c r="AF28" s="13"/>
      <c r="AG28" s="13"/>
      <c r="AH28" s="13">
        <f t="shared" ref="AH28:AH58" si="17">SUM(AF28:AG28)</f>
        <v>0</v>
      </c>
      <c r="AJ28" s="6">
        <f t="shared" si="9"/>
        <v>0</v>
      </c>
      <c r="AK28" s="134">
        <f t="shared" si="9"/>
        <v>0</v>
      </c>
      <c r="AL28" s="6">
        <f t="shared" si="9"/>
        <v>0</v>
      </c>
      <c r="AM28" s="13"/>
      <c r="AN28" s="13"/>
      <c r="AO28" s="13">
        <f t="shared" ref="AO28:AO58" si="18">SUM(AM28:AN28)</f>
        <v>0</v>
      </c>
    </row>
    <row r="29" spans="1:41" x14ac:dyDescent="0.3">
      <c r="A29" s="6"/>
      <c r="B29" s="134"/>
      <c r="C29" s="6"/>
      <c r="D29" s="13"/>
      <c r="E29" s="13"/>
      <c r="F29" s="13">
        <f t="shared" si="14"/>
        <v>0</v>
      </c>
      <c r="H29" s="6">
        <f t="shared" si="5"/>
        <v>0</v>
      </c>
      <c r="I29" s="134">
        <f t="shared" si="5"/>
        <v>0</v>
      </c>
      <c r="J29" s="6">
        <f t="shared" si="5"/>
        <v>0</v>
      </c>
      <c r="K29" s="13"/>
      <c r="L29" s="13"/>
      <c r="M29" s="13">
        <f t="shared" si="11"/>
        <v>0</v>
      </c>
      <c r="O29" s="6">
        <f t="shared" si="6"/>
        <v>0</v>
      </c>
      <c r="P29" s="134">
        <f t="shared" si="6"/>
        <v>0</v>
      </c>
      <c r="Q29" s="6">
        <f t="shared" si="6"/>
        <v>0</v>
      </c>
      <c r="R29" s="13"/>
      <c r="S29" s="13"/>
      <c r="T29" s="13">
        <f t="shared" si="15"/>
        <v>0</v>
      </c>
      <c r="V29" s="6">
        <f t="shared" si="7"/>
        <v>0</v>
      </c>
      <c r="W29" s="134">
        <f t="shared" si="7"/>
        <v>0</v>
      </c>
      <c r="X29" s="6">
        <f t="shared" si="7"/>
        <v>0</v>
      </c>
      <c r="Y29" s="13"/>
      <c r="Z29" s="13"/>
      <c r="AA29" s="13">
        <f t="shared" si="16"/>
        <v>0</v>
      </c>
      <c r="AC29" s="6">
        <f t="shared" si="8"/>
        <v>0</v>
      </c>
      <c r="AD29" s="134">
        <f t="shared" si="8"/>
        <v>0</v>
      </c>
      <c r="AE29" s="6">
        <f t="shared" si="8"/>
        <v>0</v>
      </c>
      <c r="AF29" s="13"/>
      <c r="AG29" s="13"/>
      <c r="AH29" s="13">
        <f t="shared" si="17"/>
        <v>0</v>
      </c>
      <c r="AJ29" s="6">
        <f t="shared" si="9"/>
        <v>0</v>
      </c>
      <c r="AK29" s="134">
        <f t="shared" si="9"/>
        <v>0</v>
      </c>
      <c r="AL29" s="6">
        <f t="shared" si="9"/>
        <v>0</v>
      </c>
      <c r="AM29" s="13"/>
      <c r="AN29" s="13"/>
      <c r="AO29" s="13">
        <f t="shared" si="18"/>
        <v>0</v>
      </c>
    </row>
    <row r="30" spans="1:41" x14ac:dyDescent="0.3">
      <c r="A30" s="6"/>
      <c r="B30" s="134"/>
      <c r="C30" s="6"/>
      <c r="D30" s="13"/>
      <c r="E30" s="13"/>
      <c r="F30" s="13">
        <f t="shared" si="14"/>
        <v>0</v>
      </c>
      <c r="H30" s="6">
        <f t="shared" si="5"/>
        <v>0</v>
      </c>
      <c r="I30" s="134">
        <f t="shared" si="5"/>
        <v>0</v>
      </c>
      <c r="J30" s="6">
        <f t="shared" si="5"/>
        <v>0</v>
      </c>
      <c r="K30" s="13"/>
      <c r="L30" s="13"/>
      <c r="M30" s="13">
        <f t="shared" si="11"/>
        <v>0</v>
      </c>
      <c r="O30" s="6">
        <f t="shared" si="6"/>
        <v>0</v>
      </c>
      <c r="P30" s="134">
        <f t="shared" si="6"/>
        <v>0</v>
      </c>
      <c r="Q30" s="6">
        <f t="shared" si="6"/>
        <v>0</v>
      </c>
      <c r="R30" s="13"/>
      <c r="S30" s="13"/>
      <c r="T30" s="13">
        <f t="shared" si="15"/>
        <v>0</v>
      </c>
      <c r="V30" s="6">
        <f t="shared" si="7"/>
        <v>0</v>
      </c>
      <c r="W30" s="134">
        <f t="shared" si="7"/>
        <v>0</v>
      </c>
      <c r="X30" s="6">
        <f t="shared" si="7"/>
        <v>0</v>
      </c>
      <c r="Y30" s="13"/>
      <c r="Z30" s="13"/>
      <c r="AA30" s="13">
        <f t="shared" si="16"/>
        <v>0</v>
      </c>
      <c r="AC30" s="6">
        <f t="shared" si="8"/>
        <v>0</v>
      </c>
      <c r="AD30" s="134">
        <f t="shared" si="8"/>
        <v>0</v>
      </c>
      <c r="AE30" s="6">
        <f t="shared" si="8"/>
        <v>0</v>
      </c>
      <c r="AF30" s="13"/>
      <c r="AG30" s="13"/>
      <c r="AH30" s="13">
        <f t="shared" si="17"/>
        <v>0</v>
      </c>
      <c r="AJ30" s="6">
        <f t="shared" si="9"/>
        <v>0</v>
      </c>
      <c r="AK30" s="134">
        <f t="shared" si="9"/>
        <v>0</v>
      </c>
      <c r="AL30" s="6">
        <f t="shared" si="9"/>
        <v>0</v>
      </c>
      <c r="AM30" s="13"/>
      <c r="AN30" s="13"/>
      <c r="AO30" s="13">
        <f t="shared" si="18"/>
        <v>0</v>
      </c>
    </row>
    <row r="31" spans="1:41" x14ac:dyDescent="0.3">
      <c r="A31" s="6"/>
      <c r="B31" s="134"/>
      <c r="C31" s="6"/>
      <c r="D31" s="13"/>
      <c r="E31" s="13"/>
      <c r="F31" s="13">
        <f t="shared" si="14"/>
        <v>0</v>
      </c>
      <c r="H31" s="6">
        <f t="shared" si="5"/>
        <v>0</v>
      </c>
      <c r="I31" s="134">
        <f t="shared" si="5"/>
        <v>0</v>
      </c>
      <c r="J31" s="6">
        <f t="shared" si="5"/>
        <v>0</v>
      </c>
      <c r="K31" s="13"/>
      <c r="L31" s="13"/>
      <c r="M31" s="13">
        <f t="shared" si="11"/>
        <v>0</v>
      </c>
      <c r="O31" s="6">
        <f t="shared" si="6"/>
        <v>0</v>
      </c>
      <c r="P31" s="134">
        <f t="shared" si="6"/>
        <v>0</v>
      </c>
      <c r="Q31" s="6">
        <f t="shared" si="6"/>
        <v>0</v>
      </c>
      <c r="R31" s="13"/>
      <c r="S31" s="13"/>
      <c r="T31" s="13">
        <f t="shared" si="15"/>
        <v>0</v>
      </c>
      <c r="V31" s="6">
        <f t="shared" si="7"/>
        <v>0</v>
      </c>
      <c r="W31" s="134">
        <f t="shared" si="7"/>
        <v>0</v>
      </c>
      <c r="X31" s="6">
        <f t="shared" si="7"/>
        <v>0</v>
      </c>
      <c r="Y31" s="13"/>
      <c r="Z31" s="13"/>
      <c r="AA31" s="13">
        <f t="shared" si="16"/>
        <v>0</v>
      </c>
      <c r="AC31" s="6">
        <f t="shared" si="8"/>
        <v>0</v>
      </c>
      <c r="AD31" s="134">
        <f t="shared" si="8"/>
        <v>0</v>
      </c>
      <c r="AE31" s="6">
        <f t="shared" si="8"/>
        <v>0</v>
      </c>
      <c r="AF31" s="13"/>
      <c r="AG31" s="13"/>
      <c r="AH31" s="13">
        <f t="shared" si="17"/>
        <v>0</v>
      </c>
      <c r="AJ31" s="6">
        <f t="shared" si="9"/>
        <v>0</v>
      </c>
      <c r="AK31" s="134">
        <f t="shared" si="9"/>
        <v>0</v>
      </c>
      <c r="AL31" s="6">
        <f t="shared" si="9"/>
        <v>0</v>
      </c>
      <c r="AM31" s="13"/>
      <c r="AN31" s="13"/>
      <c r="AO31" s="13">
        <f t="shared" si="18"/>
        <v>0</v>
      </c>
    </row>
    <row r="32" spans="1:41" x14ac:dyDescent="0.3">
      <c r="A32" s="6"/>
      <c r="B32" s="134"/>
      <c r="C32" s="6"/>
      <c r="D32" s="13"/>
      <c r="E32" s="13"/>
      <c r="F32" s="13">
        <f t="shared" si="14"/>
        <v>0</v>
      </c>
      <c r="H32" s="6">
        <f t="shared" si="5"/>
        <v>0</v>
      </c>
      <c r="I32" s="134">
        <f t="shared" si="5"/>
        <v>0</v>
      </c>
      <c r="J32" s="6">
        <f t="shared" si="5"/>
        <v>0</v>
      </c>
      <c r="K32" s="13"/>
      <c r="L32" s="13"/>
      <c r="M32" s="13">
        <f t="shared" si="11"/>
        <v>0</v>
      </c>
      <c r="O32" s="6">
        <f t="shared" si="6"/>
        <v>0</v>
      </c>
      <c r="P32" s="134">
        <f t="shared" si="6"/>
        <v>0</v>
      </c>
      <c r="Q32" s="6">
        <f t="shared" si="6"/>
        <v>0</v>
      </c>
      <c r="R32" s="13"/>
      <c r="S32" s="13"/>
      <c r="T32" s="13">
        <f t="shared" si="15"/>
        <v>0</v>
      </c>
      <c r="V32" s="6">
        <f t="shared" si="7"/>
        <v>0</v>
      </c>
      <c r="W32" s="134">
        <f t="shared" si="7"/>
        <v>0</v>
      </c>
      <c r="X32" s="6">
        <f t="shared" si="7"/>
        <v>0</v>
      </c>
      <c r="Y32" s="13"/>
      <c r="Z32" s="13"/>
      <c r="AA32" s="13">
        <f t="shared" si="16"/>
        <v>0</v>
      </c>
      <c r="AC32" s="6">
        <f t="shared" si="8"/>
        <v>0</v>
      </c>
      <c r="AD32" s="134">
        <f t="shared" si="8"/>
        <v>0</v>
      </c>
      <c r="AE32" s="6">
        <f t="shared" si="8"/>
        <v>0</v>
      </c>
      <c r="AF32" s="13"/>
      <c r="AG32" s="13"/>
      <c r="AH32" s="13">
        <f t="shared" si="17"/>
        <v>0</v>
      </c>
      <c r="AJ32" s="6">
        <f t="shared" si="9"/>
        <v>0</v>
      </c>
      <c r="AK32" s="134">
        <f t="shared" si="9"/>
        <v>0</v>
      </c>
      <c r="AL32" s="6">
        <f t="shared" si="9"/>
        <v>0</v>
      </c>
      <c r="AM32" s="13"/>
      <c r="AN32" s="13"/>
      <c r="AO32" s="13">
        <f t="shared" si="18"/>
        <v>0</v>
      </c>
    </row>
    <row r="33" spans="1:41" x14ac:dyDescent="0.3">
      <c r="A33" s="6"/>
      <c r="B33" s="134"/>
      <c r="C33" s="6"/>
      <c r="D33" s="13"/>
      <c r="E33" s="13"/>
      <c r="F33" s="13">
        <f t="shared" si="14"/>
        <v>0</v>
      </c>
      <c r="H33" s="6">
        <f t="shared" si="5"/>
        <v>0</v>
      </c>
      <c r="I33" s="134">
        <f t="shared" si="5"/>
        <v>0</v>
      </c>
      <c r="J33" s="6">
        <f t="shared" si="5"/>
        <v>0</v>
      </c>
      <c r="K33" s="13"/>
      <c r="L33" s="13"/>
      <c r="M33" s="13">
        <f t="shared" si="11"/>
        <v>0</v>
      </c>
      <c r="O33" s="6">
        <f t="shared" si="6"/>
        <v>0</v>
      </c>
      <c r="P33" s="134">
        <f t="shared" si="6"/>
        <v>0</v>
      </c>
      <c r="Q33" s="6">
        <f t="shared" si="6"/>
        <v>0</v>
      </c>
      <c r="R33" s="13"/>
      <c r="S33" s="13"/>
      <c r="T33" s="13">
        <f t="shared" si="15"/>
        <v>0</v>
      </c>
      <c r="V33" s="6">
        <f t="shared" si="7"/>
        <v>0</v>
      </c>
      <c r="W33" s="134">
        <f t="shared" si="7"/>
        <v>0</v>
      </c>
      <c r="X33" s="6">
        <f t="shared" si="7"/>
        <v>0</v>
      </c>
      <c r="Y33" s="13"/>
      <c r="Z33" s="13"/>
      <c r="AA33" s="13">
        <f t="shared" si="16"/>
        <v>0</v>
      </c>
      <c r="AC33" s="6">
        <f t="shared" si="8"/>
        <v>0</v>
      </c>
      <c r="AD33" s="134">
        <f t="shared" si="8"/>
        <v>0</v>
      </c>
      <c r="AE33" s="6">
        <f t="shared" si="8"/>
        <v>0</v>
      </c>
      <c r="AF33" s="13"/>
      <c r="AG33" s="13"/>
      <c r="AH33" s="13">
        <f t="shared" si="17"/>
        <v>0</v>
      </c>
      <c r="AJ33" s="6">
        <f t="shared" si="9"/>
        <v>0</v>
      </c>
      <c r="AK33" s="134">
        <f t="shared" si="9"/>
        <v>0</v>
      </c>
      <c r="AL33" s="6">
        <f t="shared" si="9"/>
        <v>0</v>
      </c>
      <c r="AM33" s="13"/>
      <c r="AN33" s="13"/>
      <c r="AO33" s="13">
        <f t="shared" si="18"/>
        <v>0</v>
      </c>
    </row>
    <row r="34" spans="1:41" x14ac:dyDescent="0.3">
      <c r="A34" s="6"/>
      <c r="B34" s="134"/>
      <c r="C34" s="6"/>
      <c r="D34" s="13"/>
      <c r="E34" s="13"/>
      <c r="F34" s="13">
        <f t="shared" si="14"/>
        <v>0</v>
      </c>
      <c r="H34" s="6">
        <f t="shared" si="5"/>
        <v>0</v>
      </c>
      <c r="I34" s="134">
        <f t="shared" si="5"/>
        <v>0</v>
      </c>
      <c r="J34" s="6">
        <f t="shared" si="5"/>
        <v>0</v>
      </c>
      <c r="K34" s="13"/>
      <c r="L34" s="13"/>
      <c r="M34" s="13">
        <f t="shared" si="11"/>
        <v>0</v>
      </c>
      <c r="O34" s="6">
        <f t="shared" si="6"/>
        <v>0</v>
      </c>
      <c r="P34" s="134">
        <f t="shared" si="6"/>
        <v>0</v>
      </c>
      <c r="Q34" s="6">
        <f t="shared" si="6"/>
        <v>0</v>
      </c>
      <c r="R34" s="13"/>
      <c r="S34" s="13"/>
      <c r="T34" s="13">
        <f t="shared" si="15"/>
        <v>0</v>
      </c>
      <c r="V34" s="6">
        <f t="shared" si="7"/>
        <v>0</v>
      </c>
      <c r="W34" s="134">
        <f t="shared" si="7"/>
        <v>0</v>
      </c>
      <c r="X34" s="6">
        <f t="shared" si="7"/>
        <v>0</v>
      </c>
      <c r="Y34" s="13"/>
      <c r="Z34" s="13"/>
      <c r="AA34" s="13">
        <f t="shared" si="16"/>
        <v>0</v>
      </c>
      <c r="AC34" s="6">
        <f t="shared" si="8"/>
        <v>0</v>
      </c>
      <c r="AD34" s="134">
        <f t="shared" si="8"/>
        <v>0</v>
      </c>
      <c r="AE34" s="6">
        <f t="shared" si="8"/>
        <v>0</v>
      </c>
      <c r="AF34" s="13"/>
      <c r="AG34" s="13"/>
      <c r="AH34" s="13">
        <f t="shared" si="17"/>
        <v>0</v>
      </c>
      <c r="AJ34" s="6">
        <f t="shared" si="9"/>
        <v>0</v>
      </c>
      <c r="AK34" s="134">
        <f t="shared" si="9"/>
        <v>0</v>
      </c>
      <c r="AL34" s="6">
        <f t="shared" si="9"/>
        <v>0</v>
      </c>
      <c r="AM34" s="13"/>
      <c r="AN34" s="13"/>
      <c r="AO34" s="13">
        <f t="shared" si="18"/>
        <v>0</v>
      </c>
    </row>
    <row r="35" spans="1:41" x14ac:dyDescent="0.3">
      <c r="A35" s="6"/>
      <c r="B35" s="134"/>
      <c r="C35" s="6"/>
      <c r="D35" s="13"/>
      <c r="E35" s="13"/>
      <c r="F35" s="13">
        <f t="shared" ref="F35:F37" si="19">SUM(D35:E35)</f>
        <v>0</v>
      </c>
      <c r="H35" s="6">
        <f t="shared" si="5"/>
        <v>0</v>
      </c>
      <c r="I35" s="134">
        <f t="shared" si="5"/>
        <v>0</v>
      </c>
      <c r="J35" s="6">
        <f t="shared" si="5"/>
        <v>0</v>
      </c>
      <c r="K35" s="13"/>
      <c r="L35" s="13"/>
      <c r="M35" s="13">
        <f t="shared" si="11"/>
        <v>0</v>
      </c>
      <c r="O35" s="6">
        <f t="shared" si="6"/>
        <v>0</v>
      </c>
      <c r="P35" s="134">
        <f t="shared" si="6"/>
        <v>0</v>
      </c>
      <c r="Q35" s="6">
        <f t="shared" si="6"/>
        <v>0</v>
      </c>
      <c r="R35" s="13"/>
      <c r="S35" s="13"/>
      <c r="T35" s="13">
        <f t="shared" si="15"/>
        <v>0</v>
      </c>
      <c r="V35" s="6">
        <f t="shared" si="7"/>
        <v>0</v>
      </c>
      <c r="W35" s="134">
        <f t="shared" si="7"/>
        <v>0</v>
      </c>
      <c r="X35" s="6">
        <f t="shared" si="7"/>
        <v>0</v>
      </c>
      <c r="Y35" s="13"/>
      <c r="Z35" s="13"/>
      <c r="AA35" s="13">
        <f t="shared" si="16"/>
        <v>0</v>
      </c>
      <c r="AC35" s="6">
        <f t="shared" si="8"/>
        <v>0</v>
      </c>
      <c r="AD35" s="134">
        <f t="shared" si="8"/>
        <v>0</v>
      </c>
      <c r="AE35" s="6">
        <f t="shared" si="8"/>
        <v>0</v>
      </c>
      <c r="AF35" s="13"/>
      <c r="AG35" s="13"/>
      <c r="AH35" s="13">
        <f t="shared" si="17"/>
        <v>0</v>
      </c>
      <c r="AJ35" s="6">
        <f t="shared" si="9"/>
        <v>0</v>
      </c>
      <c r="AK35" s="134">
        <f t="shared" si="9"/>
        <v>0</v>
      </c>
      <c r="AL35" s="6">
        <f t="shared" si="9"/>
        <v>0</v>
      </c>
      <c r="AM35" s="13"/>
      <c r="AN35" s="13"/>
      <c r="AO35" s="13">
        <f t="shared" si="18"/>
        <v>0</v>
      </c>
    </row>
    <row r="36" spans="1:41" x14ac:dyDescent="0.3">
      <c r="A36" s="6"/>
      <c r="B36" s="134"/>
      <c r="C36" s="6"/>
      <c r="D36" s="13"/>
      <c r="E36" s="13"/>
      <c r="F36" s="13">
        <f t="shared" si="19"/>
        <v>0</v>
      </c>
      <c r="H36" s="6">
        <f t="shared" si="5"/>
        <v>0</v>
      </c>
      <c r="I36" s="134">
        <f t="shared" si="5"/>
        <v>0</v>
      </c>
      <c r="J36" s="6">
        <f t="shared" si="5"/>
        <v>0</v>
      </c>
      <c r="K36" s="13"/>
      <c r="L36" s="13"/>
      <c r="M36" s="13">
        <f t="shared" si="11"/>
        <v>0</v>
      </c>
      <c r="O36" s="6">
        <f t="shared" si="6"/>
        <v>0</v>
      </c>
      <c r="P36" s="134">
        <f t="shared" si="6"/>
        <v>0</v>
      </c>
      <c r="Q36" s="6">
        <f t="shared" si="6"/>
        <v>0</v>
      </c>
      <c r="R36" s="13"/>
      <c r="S36" s="13"/>
      <c r="T36" s="13">
        <f t="shared" si="15"/>
        <v>0</v>
      </c>
      <c r="V36" s="6">
        <f t="shared" si="7"/>
        <v>0</v>
      </c>
      <c r="W36" s="134">
        <f t="shared" si="7"/>
        <v>0</v>
      </c>
      <c r="X36" s="6">
        <f t="shared" si="7"/>
        <v>0</v>
      </c>
      <c r="Y36" s="13"/>
      <c r="Z36" s="13"/>
      <c r="AA36" s="13">
        <f t="shared" si="16"/>
        <v>0</v>
      </c>
      <c r="AC36" s="6">
        <f t="shared" si="8"/>
        <v>0</v>
      </c>
      <c r="AD36" s="134">
        <f t="shared" si="8"/>
        <v>0</v>
      </c>
      <c r="AE36" s="6">
        <f t="shared" si="8"/>
        <v>0</v>
      </c>
      <c r="AF36" s="13"/>
      <c r="AG36" s="13"/>
      <c r="AH36" s="13">
        <f t="shared" si="17"/>
        <v>0</v>
      </c>
      <c r="AJ36" s="6">
        <f t="shared" si="9"/>
        <v>0</v>
      </c>
      <c r="AK36" s="134">
        <f t="shared" si="9"/>
        <v>0</v>
      </c>
      <c r="AL36" s="6">
        <f t="shared" si="9"/>
        <v>0</v>
      </c>
      <c r="AM36" s="13"/>
      <c r="AN36" s="13"/>
      <c r="AO36" s="13">
        <f t="shared" si="18"/>
        <v>0</v>
      </c>
    </row>
    <row r="37" spans="1:41" x14ac:dyDescent="0.3">
      <c r="A37" s="6"/>
      <c r="B37" s="134"/>
      <c r="C37" s="6"/>
      <c r="D37" s="13"/>
      <c r="E37" s="13"/>
      <c r="F37" s="13">
        <f t="shared" si="19"/>
        <v>0</v>
      </c>
      <c r="H37" s="6">
        <f t="shared" si="5"/>
        <v>0</v>
      </c>
      <c r="I37" s="134">
        <f t="shared" si="5"/>
        <v>0</v>
      </c>
      <c r="J37" s="6">
        <f t="shared" si="5"/>
        <v>0</v>
      </c>
      <c r="K37" s="13"/>
      <c r="L37" s="13"/>
      <c r="M37" s="13">
        <f t="shared" si="11"/>
        <v>0</v>
      </c>
      <c r="O37" s="6">
        <f t="shared" si="6"/>
        <v>0</v>
      </c>
      <c r="P37" s="134">
        <f t="shared" si="6"/>
        <v>0</v>
      </c>
      <c r="Q37" s="6">
        <f t="shared" si="6"/>
        <v>0</v>
      </c>
      <c r="R37" s="13"/>
      <c r="S37" s="13"/>
      <c r="T37" s="13">
        <f t="shared" si="15"/>
        <v>0</v>
      </c>
      <c r="V37" s="6">
        <f t="shared" si="7"/>
        <v>0</v>
      </c>
      <c r="W37" s="134">
        <f t="shared" si="7"/>
        <v>0</v>
      </c>
      <c r="X37" s="6">
        <f t="shared" si="7"/>
        <v>0</v>
      </c>
      <c r="Y37" s="13"/>
      <c r="Z37" s="13"/>
      <c r="AA37" s="13">
        <f t="shared" si="16"/>
        <v>0</v>
      </c>
      <c r="AC37" s="6">
        <f t="shared" si="8"/>
        <v>0</v>
      </c>
      <c r="AD37" s="134">
        <f t="shared" si="8"/>
        <v>0</v>
      </c>
      <c r="AE37" s="6">
        <f t="shared" si="8"/>
        <v>0</v>
      </c>
      <c r="AF37" s="13"/>
      <c r="AG37" s="13"/>
      <c r="AH37" s="13">
        <f t="shared" si="17"/>
        <v>0</v>
      </c>
      <c r="AJ37" s="6">
        <f t="shared" si="9"/>
        <v>0</v>
      </c>
      <c r="AK37" s="134">
        <f t="shared" si="9"/>
        <v>0</v>
      </c>
      <c r="AL37" s="6">
        <f t="shared" si="9"/>
        <v>0</v>
      </c>
      <c r="AM37" s="13"/>
      <c r="AN37" s="13"/>
      <c r="AO37" s="13">
        <f t="shared" si="18"/>
        <v>0</v>
      </c>
    </row>
    <row r="38" spans="1:41" x14ac:dyDescent="0.3">
      <c r="A38" s="6"/>
      <c r="B38" s="134"/>
      <c r="C38" s="6"/>
      <c r="D38" s="13"/>
      <c r="E38" s="13"/>
      <c r="F38" s="13">
        <f t="shared" si="14"/>
        <v>0</v>
      </c>
      <c r="H38" s="6">
        <f t="shared" si="5"/>
        <v>0</v>
      </c>
      <c r="I38" s="134">
        <f t="shared" si="5"/>
        <v>0</v>
      </c>
      <c r="J38" s="6">
        <f t="shared" si="5"/>
        <v>0</v>
      </c>
      <c r="K38" s="13"/>
      <c r="L38" s="13"/>
      <c r="M38" s="13">
        <f t="shared" si="11"/>
        <v>0</v>
      </c>
      <c r="O38" s="6">
        <f t="shared" si="6"/>
        <v>0</v>
      </c>
      <c r="P38" s="134">
        <f t="shared" si="6"/>
        <v>0</v>
      </c>
      <c r="Q38" s="6">
        <f t="shared" si="6"/>
        <v>0</v>
      </c>
      <c r="R38" s="13"/>
      <c r="S38" s="13"/>
      <c r="T38" s="13">
        <f t="shared" si="15"/>
        <v>0</v>
      </c>
      <c r="V38" s="6">
        <f t="shared" si="7"/>
        <v>0</v>
      </c>
      <c r="W38" s="134">
        <f t="shared" si="7"/>
        <v>0</v>
      </c>
      <c r="X38" s="6">
        <f t="shared" si="7"/>
        <v>0</v>
      </c>
      <c r="Y38" s="13"/>
      <c r="Z38" s="13"/>
      <c r="AA38" s="13">
        <f t="shared" si="16"/>
        <v>0</v>
      </c>
      <c r="AC38" s="6">
        <f t="shared" si="8"/>
        <v>0</v>
      </c>
      <c r="AD38" s="134">
        <f t="shared" si="8"/>
        <v>0</v>
      </c>
      <c r="AE38" s="6">
        <f t="shared" si="8"/>
        <v>0</v>
      </c>
      <c r="AF38" s="13"/>
      <c r="AG38" s="13"/>
      <c r="AH38" s="13">
        <f t="shared" si="17"/>
        <v>0</v>
      </c>
      <c r="AJ38" s="6">
        <f t="shared" si="9"/>
        <v>0</v>
      </c>
      <c r="AK38" s="134">
        <f t="shared" si="9"/>
        <v>0</v>
      </c>
      <c r="AL38" s="6">
        <f t="shared" si="9"/>
        <v>0</v>
      </c>
      <c r="AM38" s="13"/>
      <c r="AN38" s="13"/>
      <c r="AO38" s="13">
        <f t="shared" si="18"/>
        <v>0</v>
      </c>
    </row>
    <row r="39" spans="1:41" x14ac:dyDescent="0.3">
      <c r="A39" s="6"/>
      <c r="B39" s="134"/>
      <c r="C39" s="6"/>
      <c r="D39" s="13"/>
      <c r="E39" s="13"/>
      <c r="F39" s="13">
        <f t="shared" si="14"/>
        <v>0</v>
      </c>
      <c r="H39" s="6">
        <f t="shared" si="5"/>
        <v>0</v>
      </c>
      <c r="I39" s="134">
        <f t="shared" si="5"/>
        <v>0</v>
      </c>
      <c r="J39" s="6">
        <f t="shared" si="5"/>
        <v>0</v>
      </c>
      <c r="K39" s="13"/>
      <c r="L39" s="13"/>
      <c r="M39" s="13">
        <f t="shared" si="11"/>
        <v>0</v>
      </c>
      <c r="O39" s="6">
        <f t="shared" si="6"/>
        <v>0</v>
      </c>
      <c r="P39" s="134">
        <f t="shared" si="6"/>
        <v>0</v>
      </c>
      <c r="Q39" s="6">
        <f t="shared" si="6"/>
        <v>0</v>
      </c>
      <c r="R39" s="13"/>
      <c r="S39" s="13"/>
      <c r="T39" s="13">
        <f t="shared" si="15"/>
        <v>0</v>
      </c>
      <c r="V39" s="6">
        <f t="shared" si="7"/>
        <v>0</v>
      </c>
      <c r="W39" s="134">
        <f t="shared" si="7"/>
        <v>0</v>
      </c>
      <c r="X39" s="6">
        <f t="shared" si="7"/>
        <v>0</v>
      </c>
      <c r="Y39" s="13"/>
      <c r="Z39" s="13"/>
      <c r="AA39" s="13">
        <f t="shared" si="16"/>
        <v>0</v>
      </c>
      <c r="AC39" s="6">
        <f t="shared" si="8"/>
        <v>0</v>
      </c>
      <c r="AD39" s="134">
        <f t="shared" si="8"/>
        <v>0</v>
      </c>
      <c r="AE39" s="6">
        <f t="shared" si="8"/>
        <v>0</v>
      </c>
      <c r="AF39" s="13"/>
      <c r="AG39" s="13"/>
      <c r="AH39" s="13">
        <f t="shared" si="17"/>
        <v>0</v>
      </c>
      <c r="AJ39" s="6">
        <f t="shared" si="9"/>
        <v>0</v>
      </c>
      <c r="AK39" s="134">
        <f t="shared" si="9"/>
        <v>0</v>
      </c>
      <c r="AL39" s="6">
        <f t="shared" si="9"/>
        <v>0</v>
      </c>
      <c r="AM39" s="13"/>
      <c r="AN39" s="13"/>
      <c r="AO39" s="13">
        <f t="shared" si="18"/>
        <v>0</v>
      </c>
    </row>
    <row r="40" spans="1:41" x14ac:dyDescent="0.3">
      <c r="A40" s="6"/>
      <c r="B40" s="134"/>
      <c r="C40" s="6"/>
      <c r="D40" s="13"/>
      <c r="E40" s="13"/>
      <c r="F40" s="13">
        <f t="shared" si="14"/>
        <v>0</v>
      </c>
      <c r="H40" s="6">
        <f t="shared" si="5"/>
        <v>0</v>
      </c>
      <c r="I40" s="134">
        <f t="shared" si="5"/>
        <v>0</v>
      </c>
      <c r="J40" s="6">
        <f t="shared" si="5"/>
        <v>0</v>
      </c>
      <c r="K40" s="13"/>
      <c r="L40" s="13"/>
      <c r="M40" s="13">
        <f t="shared" si="11"/>
        <v>0</v>
      </c>
      <c r="O40" s="6">
        <f t="shared" si="6"/>
        <v>0</v>
      </c>
      <c r="P40" s="134">
        <f t="shared" si="6"/>
        <v>0</v>
      </c>
      <c r="Q40" s="6">
        <f t="shared" si="6"/>
        <v>0</v>
      </c>
      <c r="R40" s="13"/>
      <c r="S40" s="13"/>
      <c r="T40" s="13">
        <f t="shared" si="15"/>
        <v>0</v>
      </c>
      <c r="V40" s="6">
        <f t="shared" si="7"/>
        <v>0</v>
      </c>
      <c r="W40" s="134">
        <f t="shared" si="7"/>
        <v>0</v>
      </c>
      <c r="X40" s="6">
        <f t="shared" si="7"/>
        <v>0</v>
      </c>
      <c r="Y40" s="13"/>
      <c r="Z40" s="13"/>
      <c r="AA40" s="13">
        <f t="shared" si="16"/>
        <v>0</v>
      </c>
      <c r="AC40" s="6">
        <f t="shared" si="8"/>
        <v>0</v>
      </c>
      <c r="AD40" s="134">
        <f t="shared" si="8"/>
        <v>0</v>
      </c>
      <c r="AE40" s="6">
        <f t="shared" si="8"/>
        <v>0</v>
      </c>
      <c r="AF40" s="13"/>
      <c r="AG40" s="13"/>
      <c r="AH40" s="13">
        <f t="shared" si="17"/>
        <v>0</v>
      </c>
      <c r="AJ40" s="6">
        <f t="shared" si="9"/>
        <v>0</v>
      </c>
      <c r="AK40" s="134">
        <f t="shared" si="9"/>
        <v>0</v>
      </c>
      <c r="AL40" s="6">
        <f t="shared" si="9"/>
        <v>0</v>
      </c>
      <c r="AM40" s="13"/>
      <c r="AN40" s="13"/>
      <c r="AO40" s="13">
        <f t="shared" si="18"/>
        <v>0</v>
      </c>
    </row>
    <row r="41" spans="1:41" x14ac:dyDescent="0.3">
      <c r="A41" s="6"/>
      <c r="B41" s="134"/>
      <c r="C41" s="6"/>
      <c r="D41" s="13"/>
      <c r="E41" s="13"/>
      <c r="F41" s="13">
        <f t="shared" si="14"/>
        <v>0</v>
      </c>
      <c r="H41" s="6">
        <f t="shared" si="5"/>
        <v>0</v>
      </c>
      <c r="I41" s="134">
        <f t="shared" si="5"/>
        <v>0</v>
      </c>
      <c r="J41" s="6">
        <f t="shared" si="5"/>
        <v>0</v>
      </c>
      <c r="K41" s="13"/>
      <c r="L41" s="13"/>
      <c r="M41" s="13">
        <f t="shared" si="11"/>
        <v>0</v>
      </c>
      <c r="O41" s="6">
        <f t="shared" si="6"/>
        <v>0</v>
      </c>
      <c r="P41" s="134">
        <f t="shared" si="6"/>
        <v>0</v>
      </c>
      <c r="Q41" s="6">
        <f t="shared" si="6"/>
        <v>0</v>
      </c>
      <c r="R41" s="13"/>
      <c r="S41" s="13"/>
      <c r="T41" s="13">
        <f t="shared" si="15"/>
        <v>0</v>
      </c>
      <c r="V41" s="6">
        <f t="shared" si="7"/>
        <v>0</v>
      </c>
      <c r="W41" s="134">
        <f t="shared" si="7"/>
        <v>0</v>
      </c>
      <c r="X41" s="6">
        <f t="shared" si="7"/>
        <v>0</v>
      </c>
      <c r="Y41" s="13"/>
      <c r="Z41" s="13"/>
      <c r="AA41" s="13">
        <f t="shared" si="16"/>
        <v>0</v>
      </c>
      <c r="AC41" s="6">
        <f t="shared" si="8"/>
        <v>0</v>
      </c>
      <c r="AD41" s="134">
        <f t="shared" si="8"/>
        <v>0</v>
      </c>
      <c r="AE41" s="6">
        <f t="shared" si="8"/>
        <v>0</v>
      </c>
      <c r="AF41" s="13"/>
      <c r="AG41" s="13"/>
      <c r="AH41" s="13">
        <f t="shared" si="17"/>
        <v>0</v>
      </c>
      <c r="AJ41" s="6">
        <f t="shared" si="9"/>
        <v>0</v>
      </c>
      <c r="AK41" s="134">
        <f t="shared" si="9"/>
        <v>0</v>
      </c>
      <c r="AL41" s="6">
        <f t="shared" si="9"/>
        <v>0</v>
      </c>
      <c r="AM41" s="13"/>
      <c r="AN41" s="13"/>
      <c r="AO41" s="13">
        <f t="shared" si="18"/>
        <v>0</v>
      </c>
    </row>
    <row r="42" spans="1:41" x14ac:dyDescent="0.3">
      <c r="A42" s="6"/>
      <c r="B42" s="134"/>
      <c r="C42" s="6"/>
      <c r="D42" s="13"/>
      <c r="E42" s="13"/>
      <c r="F42" s="13">
        <f t="shared" si="14"/>
        <v>0</v>
      </c>
      <c r="H42" s="6">
        <f t="shared" si="5"/>
        <v>0</v>
      </c>
      <c r="I42" s="134">
        <f t="shared" si="5"/>
        <v>0</v>
      </c>
      <c r="J42" s="6">
        <f t="shared" si="5"/>
        <v>0</v>
      </c>
      <c r="K42" s="13"/>
      <c r="L42" s="13"/>
      <c r="M42" s="13">
        <f t="shared" si="11"/>
        <v>0</v>
      </c>
      <c r="O42" s="6">
        <f t="shared" si="6"/>
        <v>0</v>
      </c>
      <c r="P42" s="134">
        <f t="shared" si="6"/>
        <v>0</v>
      </c>
      <c r="Q42" s="6">
        <f t="shared" si="6"/>
        <v>0</v>
      </c>
      <c r="R42" s="13"/>
      <c r="S42" s="13"/>
      <c r="T42" s="13">
        <f t="shared" si="15"/>
        <v>0</v>
      </c>
      <c r="V42" s="6">
        <f t="shared" si="7"/>
        <v>0</v>
      </c>
      <c r="W42" s="134">
        <f t="shared" si="7"/>
        <v>0</v>
      </c>
      <c r="X42" s="6">
        <f t="shared" si="7"/>
        <v>0</v>
      </c>
      <c r="Y42" s="13"/>
      <c r="Z42" s="13"/>
      <c r="AA42" s="13">
        <f t="shared" si="16"/>
        <v>0</v>
      </c>
      <c r="AC42" s="6">
        <f t="shared" si="8"/>
        <v>0</v>
      </c>
      <c r="AD42" s="134">
        <f t="shared" si="8"/>
        <v>0</v>
      </c>
      <c r="AE42" s="6">
        <f t="shared" si="8"/>
        <v>0</v>
      </c>
      <c r="AF42" s="13"/>
      <c r="AG42" s="13"/>
      <c r="AH42" s="13">
        <f t="shared" si="17"/>
        <v>0</v>
      </c>
      <c r="AJ42" s="6">
        <f t="shared" si="9"/>
        <v>0</v>
      </c>
      <c r="AK42" s="134">
        <f t="shared" si="9"/>
        <v>0</v>
      </c>
      <c r="AL42" s="6">
        <f t="shared" si="9"/>
        <v>0</v>
      </c>
      <c r="AM42" s="13"/>
      <c r="AN42" s="13"/>
      <c r="AO42" s="13">
        <f t="shared" si="18"/>
        <v>0</v>
      </c>
    </row>
    <row r="43" spans="1:41" x14ac:dyDescent="0.3">
      <c r="A43" s="6"/>
      <c r="B43" s="134"/>
      <c r="C43" s="6"/>
      <c r="D43" s="13"/>
      <c r="E43" s="13"/>
      <c r="F43" s="13">
        <f t="shared" si="14"/>
        <v>0</v>
      </c>
      <c r="H43" s="6">
        <f t="shared" si="5"/>
        <v>0</v>
      </c>
      <c r="I43" s="134">
        <f t="shared" si="5"/>
        <v>0</v>
      </c>
      <c r="J43" s="6">
        <f t="shared" si="5"/>
        <v>0</v>
      </c>
      <c r="K43" s="13"/>
      <c r="L43" s="13"/>
      <c r="M43" s="13">
        <f t="shared" si="11"/>
        <v>0</v>
      </c>
      <c r="O43" s="6">
        <f t="shared" si="6"/>
        <v>0</v>
      </c>
      <c r="P43" s="134">
        <f t="shared" si="6"/>
        <v>0</v>
      </c>
      <c r="Q43" s="6">
        <f t="shared" si="6"/>
        <v>0</v>
      </c>
      <c r="R43" s="13"/>
      <c r="S43" s="13"/>
      <c r="T43" s="13">
        <f t="shared" si="15"/>
        <v>0</v>
      </c>
      <c r="V43" s="6">
        <f t="shared" si="7"/>
        <v>0</v>
      </c>
      <c r="W43" s="134">
        <f t="shared" si="7"/>
        <v>0</v>
      </c>
      <c r="X43" s="6">
        <f t="shared" si="7"/>
        <v>0</v>
      </c>
      <c r="Y43" s="13"/>
      <c r="Z43" s="13"/>
      <c r="AA43" s="13">
        <f t="shared" si="16"/>
        <v>0</v>
      </c>
      <c r="AC43" s="6">
        <f t="shared" si="8"/>
        <v>0</v>
      </c>
      <c r="AD43" s="134">
        <f t="shared" si="8"/>
        <v>0</v>
      </c>
      <c r="AE43" s="6">
        <f t="shared" si="8"/>
        <v>0</v>
      </c>
      <c r="AF43" s="13"/>
      <c r="AG43" s="13"/>
      <c r="AH43" s="13">
        <f t="shared" si="17"/>
        <v>0</v>
      </c>
      <c r="AJ43" s="6">
        <f t="shared" si="9"/>
        <v>0</v>
      </c>
      <c r="AK43" s="134">
        <f t="shared" si="9"/>
        <v>0</v>
      </c>
      <c r="AL43" s="6">
        <f t="shared" si="9"/>
        <v>0</v>
      </c>
      <c r="AM43" s="13"/>
      <c r="AN43" s="13"/>
      <c r="AO43" s="13">
        <f t="shared" si="18"/>
        <v>0</v>
      </c>
    </row>
    <row r="44" spans="1:41" x14ac:dyDescent="0.3">
      <c r="A44" s="6"/>
      <c r="B44" s="134"/>
      <c r="C44" s="6"/>
      <c r="D44" s="13"/>
      <c r="E44" s="13"/>
      <c r="F44" s="13">
        <f t="shared" ref="F44:F57" si="20">SUM(D44:E44)</f>
        <v>0</v>
      </c>
      <c r="H44" s="6">
        <f t="shared" si="5"/>
        <v>0</v>
      </c>
      <c r="I44" s="134">
        <f t="shared" si="5"/>
        <v>0</v>
      </c>
      <c r="J44" s="6">
        <f t="shared" si="5"/>
        <v>0</v>
      </c>
      <c r="K44" s="13"/>
      <c r="L44" s="13"/>
      <c r="M44" s="13">
        <f t="shared" si="11"/>
        <v>0</v>
      </c>
      <c r="O44" s="6">
        <f t="shared" si="6"/>
        <v>0</v>
      </c>
      <c r="P44" s="134">
        <f t="shared" si="6"/>
        <v>0</v>
      </c>
      <c r="Q44" s="6">
        <f t="shared" si="6"/>
        <v>0</v>
      </c>
      <c r="R44" s="13"/>
      <c r="S44" s="13"/>
      <c r="T44" s="13">
        <f t="shared" si="15"/>
        <v>0</v>
      </c>
      <c r="V44" s="6">
        <f t="shared" si="7"/>
        <v>0</v>
      </c>
      <c r="W44" s="134">
        <f t="shared" si="7"/>
        <v>0</v>
      </c>
      <c r="X44" s="6">
        <f t="shared" si="7"/>
        <v>0</v>
      </c>
      <c r="Y44" s="13"/>
      <c r="Z44" s="13"/>
      <c r="AA44" s="13">
        <f t="shared" si="16"/>
        <v>0</v>
      </c>
      <c r="AC44" s="6">
        <f t="shared" si="8"/>
        <v>0</v>
      </c>
      <c r="AD44" s="134">
        <f t="shared" si="8"/>
        <v>0</v>
      </c>
      <c r="AE44" s="6">
        <f t="shared" si="8"/>
        <v>0</v>
      </c>
      <c r="AF44" s="13"/>
      <c r="AG44" s="13"/>
      <c r="AH44" s="13">
        <f t="shared" si="17"/>
        <v>0</v>
      </c>
      <c r="AJ44" s="6">
        <f t="shared" si="9"/>
        <v>0</v>
      </c>
      <c r="AK44" s="134">
        <f t="shared" si="9"/>
        <v>0</v>
      </c>
      <c r="AL44" s="6">
        <f t="shared" si="9"/>
        <v>0</v>
      </c>
      <c r="AM44" s="13"/>
      <c r="AN44" s="13"/>
      <c r="AO44" s="13">
        <f t="shared" si="18"/>
        <v>0</v>
      </c>
    </row>
    <row r="45" spans="1:41" x14ac:dyDescent="0.3">
      <c r="A45" s="6"/>
      <c r="B45" s="134"/>
      <c r="C45" s="6"/>
      <c r="D45" s="13"/>
      <c r="E45" s="13"/>
      <c r="F45" s="13">
        <f t="shared" si="20"/>
        <v>0</v>
      </c>
      <c r="H45" s="6">
        <f t="shared" si="5"/>
        <v>0</v>
      </c>
      <c r="I45" s="134">
        <f t="shared" si="5"/>
        <v>0</v>
      </c>
      <c r="J45" s="6">
        <f t="shared" si="5"/>
        <v>0</v>
      </c>
      <c r="K45" s="13"/>
      <c r="L45" s="13"/>
      <c r="M45" s="13">
        <f t="shared" si="11"/>
        <v>0</v>
      </c>
      <c r="O45" s="6">
        <f t="shared" si="6"/>
        <v>0</v>
      </c>
      <c r="P45" s="134">
        <f t="shared" si="6"/>
        <v>0</v>
      </c>
      <c r="Q45" s="6">
        <f t="shared" si="6"/>
        <v>0</v>
      </c>
      <c r="R45" s="13"/>
      <c r="S45" s="13"/>
      <c r="T45" s="13">
        <f t="shared" si="15"/>
        <v>0</v>
      </c>
      <c r="V45" s="6">
        <f t="shared" si="7"/>
        <v>0</v>
      </c>
      <c r="W45" s="134">
        <f t="shared" si="7"/>
        <v>0</v>
      </c>
      <c r="X45" s="6">
        <f t="shared" si="7"/>
        <v>0</v>
      </c>
      <c r="Y45" s="13"/>
      <c r="Z45" s="13"/>
      <c r="AA45" s="13">
        <f t="shared" si="16"/>
        <v>0</v>
      </c>
      <c r="AC45" s="6">
        <f t="shared" si="8"/>
        <v>0</v>
      </c>
      <c r="AD45" s="134">
        <f t="shared" si="8"/>
        <v>0</v>
      </c>
      <c r="AE45" s="6">
        <f t="shared" si="8"/>
        <v>0</v>
      </c>
      <c r="AF45" s="13"/>
      <c r="AG45" s="13"/>
      <c r="AH45" s="13">
        <f t="shared" si="17"/>
        <v>0</v>
      </c>
      <c r="AJ45" s="6">
        <f t="shared" si="9"/>
        <v>0</v>
      </c>
      <c r="AK45" s="134">
        <f t="shared" si="9"/>
        <v>0</v>
      </c>
      <c r="AL45" s="6">
        <f t="shared" si="9"/>
        <v>0</v>
      </c>
      <c r="AM45" s="13"/>
      <c r="AN45" s="13"/>
      <c r="AO45" s="13">
        <f t="shared" si="18"/>
        <v>0</v>
      </c>
    </row>
    <row r="46" spans="1:41" x14ac:dyDescent="0.3">
      <c r="A46" s="6"/>
      <c r="B46" s="134"/>
      <c r="C46" s="6"/>
      <c r="D46" s="13"/>
      <c r="E46" s="13"/>
      <c r="F46" s="13">
        <f t="shared" si="20"/>
        <v>0</v>
      </c>
      <c r="H46" s="6">
        <f t="shared" si="5"/>
        <v>0</v>
      </c>
      <c r="I46" s="134">
        <f t="shared" si="5"/>
        <v>0</v>
      </c>
      <c r="J46" s="6">
        <f t="shared" si="5"/>
        <v>0</v>
      </c>
      <c r="K46" s="13"/>
      <c r="L46" s="13"/>
      <c r="M46" s="13">
        <f t="shared" si="11"/>
        <v>0</v>
      </c>
      <c r="O46" s="6">
        <f t="shared" si="6"/>
        <v>0</v>
      </c>
      <c r="P46" s="134">
        <f t="shared" si="6"/>
        <v>0</v>
      </c>
      <c r="Q46" s="6">
        <f t="shared" si="6"/>
        <v>0</v>
      </c>
      <c r="R46" s="13"/>
      <c r="S46" s="13"/>
      <c r="T46" s="13">
        <f t="shared" si="15"/>
        <v>0</v>
      </c>
      <c r="V46" s="6">
        <f t="shared" si="7"/>
        <v>0</v>
      </c>
      <c r="W46" s="134">
        <f t="shared" si="7"/>
        <v>0</v>
      </c>
      <c r="X46" s="6">
        <f t="shared" si="7"/>
        <v>0</v>
      </c>
      <c r="Y46" s="13"/>
      <c r="Z46" s="13"/>
      <c r="AA46" s="13">
        <f t="shared" si="16"/>
        <v>0</v>
      </c>
      <c r="AC46" s="6">
        <f t="shared" si="8"/>
        <v>0</v>
      </c>
      <c r="AD46" s="134">
        <f t="shared" si="8"/>
        <v>0</v>
      </c>
      <c r="AE46" s="6">
        <f t="shared" si="8"/>
        <v>0</v>
      </c>
      <c r="AF46" s="13"/>
      <c r="AG46" s="13"/>
      <c r="AH46" s="13">
        <f t="shared" si="17"/>
        <v>0</v>
      </c>
      <c r="AJ46" s="6">
        <f t="shared" si="9"/>
        <v>0</v>
      </c>
      <c r="AK46" s="134">
        <f t="shared" si="9"/>
        <v>0</v>
      </c>
      <c r="AL46" s="6">
        <f t="shared" si="9"/>
        <v>0</v>
      </c>
      <c r="AM46" s="13"/>
      <c r="AN46" s="13"/>
      <c r="AO46" s="13">
        <f t="shared" si="18"/>
        <v>0</v>
      </c>
    </row>
    <row r="47" spans="1:41" x14ac:dyDescent="0.3">
      <c r="A47" s="6"/>
      <c r="B47" s="134"/>
      <c r="C47" s="6"/>
      <c r="D47" s="13"/>
      <c r="E47" s="13"/>
      <c r="F47" s="13">
        <f t="shared" si="20"/>
        <v>0</v>
      </c>
      <c r="H47" s="6">
        <f t="shared" si="5"/>
        <v>0</v>
      </c>
      <c r="I47" s="134">
        <f t="shared" si="5"/>
        <v>0</v>
      </c>
      <c r="J47" s="6">
        <f t="shared" si="5"/>
        <v>0</v>
      </c>
      <c r="K47" s="13"/>
      <c r="L47" s="13"/>
      <c r="M47" s="13">
        <f t="shared" si="11"/>
        <v>0</v>
      </c>
      <c r="O47" s="6">
        <f t="shared" si="6"/>
        <v>0</v>
      </c>
      <c r="P47" s="134">
        <f t="shared" si="6"/>
        <v>0</v>
      </c>
      <c r="Q47" s="6">
        <f t="shared" si="6"/>
        <v>0</v>
      </c>
      <c r="R47" s="13"/>
      <c r="S47" s="13"/>
      <c r="T47" s="13">
        <f t="shared" si="15"/>
        <v>0</v>
      </c>
      <c r="V47" s="6">
        <f t="shared" si="7"/>
        <v>0</v>
      </c>
      <c r="W47" s="134">
        <f t="shared" si="7"/>
        <v>0</v>
      </c>
      <c r="X47" s="6">
        <f t="shared" si="7"/>
        <v>0</v>
      </c>
      <c r="Y47" s="13"/>
      <c r="Z47" s="13"/>
      <c r="AA47" s="13">
        <f t="shared" si="16"/>
        <v>0</v>
      </c>
      <c r="AC47" s="6">
        <f t="shared" si="8"/>
        <v>0</v>
      </c>
      <c r="AD47" s="134">
        <f t="shared" si="8"/>
        <v>0</v>
      </c>
      <c r="AE47" s="6">
        <f t="shared" si="8"/>
        <v>0</v>
      </c>
      <c r="AF47" s="13"/>
      <c r="AG47" s="13"/>
      <c r="AH47" s="13">
        <f t="shared" si="17"/>
        <v>0</v>
      </c>
      <c r="AJ47" s="6">
        <f t="shared" si="9"/>
        <v>0</v>
      </c>
      <c r="AK47" s="134">
        <f t="shared" si="9"/>
        <v>0</v>
      </c>
      <c r="AL47" s="6">
        <f t="shared" si="9"/>
        <v>0</v>
      </c>
      <c r="AM47" s="13"/>
      <c r="AN47" s="13"/>
      <c r="AO47" s="13">
        <f t="shared" si="18"/>
        <v>0</v>
      </c>
    </row>
    <row r="48" spans="1:41" x14ac:dyDescent="0.3">
      <c r="A48" s="6"/>
      <c r="B48" s="134"/>
      <c r="C48" s="6"/>
      <c r="D48" s="13"/>
      <c r="E48" s="13"/>
      <c r="F48" s="13">
        <f t="shared" si="20"/>
        <v>0</v>
      </c>
      <c r="H48" s="6">
        <f t="shared" si="5"/>
        <v>0</v>
      </c>
      <c r="I48" s="134">
        <f t="shared" si="5"/>
        <v>0</v>
      </c>
      <c r="J48" s="6">
        <f t="shared" si="5"/>
        <v>0</v>
      </c>
      <c r="K48" s="13"/>
      <c r="L48" s="13"/>
      <c r="M48" s="13">
        <f t="shared" si="11"/>
        <v>0</v>
      </c>
      <c r="O48" s="6">
        <f t="shared" si="6"/>
        <v>0</v>
      </c>
      <c r="P48" s="134">
        <f t="shared" si="6"/>
        <v>0</v>
      </c>
      <c r="Q48" s="6">
        <f t="shared" si="6"/>
        <v>0</v>
      </c>
      <c r="R48" s="13"/>
      <c r="S48" s="13"/>
      <c r="T48" s="13">
        <f t="shared" si="15"/>
        <v>0</v>
      </c>
      <c r="V48" s="6">
        <f t="shared" si="7"/>
        <v>0</v>
      </c>
      <c r="W48" s="134">
        <f t="shared" si="7"/>
        <v>0</v>
      </c>
      <c r="X48" s="6">
        <f t="shared" si="7"/>
        <v>0</v>
      </c>
      <c r="Y48" s="13"/>
      <c r="Z48" s="13"/>
      <c r="AA48" s="13">
        <f t="shared" si="16"/>
        <v>0</v>
      </c>
      <c r="AC48" s="6">
        <f t="shared" si="8"/>
        <v>0</v>
      </c>
      <c r="AD48" s="134">
        <f t="shared" si="8"/>
        <v>0</v>
      </c>
      <c r="AE48" s="6">
        <f t="shared" si="8"/>
        <v>0</v>
      </c>
      <c r="AF48" s="13"/>
      <c r="AG48" s="13"/>
      <c r="AH48" s="13">
        <f t="shared" si="17"/>
        <v>0</v>
      </c>
      <c r="AJ48" s="6">
        <f t="shared" si="9"/>
        <v>0</v>
      </c>
      <c r="AK48" s="134">
        <f t="shared" si="9"/>
        <v>0</v>
      </c>
      <c r="AL48" s="6">
        <f t="shared" si="9"/>
        <v>0</v>
      </c>
      <c r="AM48" s="13"/>
      <c r="AN48" s="13"/>
      <c r="AO48" s="13">
        <f t="shared" si="18"/>
        <v>0</v>
      </c>
    </row>
    <row r="49" spans="1:42" x14ac:dyDescent="0.3">
      <c r="A49" s="6"/>
      <c r="B49" s="134"/>
      <c r="C49" s="6"/>
      <c r="D49" s="13"/>
      <c r="E49" s="13"/>
      <c r="F49" s="13">
        <f t="shared" si="20"/>
        <v>0</v>
      </c>
      <c r="H49" s="6">
        <f t="shared" si="5"/>
        <v>0</v>
      </c>
      <c r="I49" s="134">
        <f t="shared" si="5"/>
        <v>0</v>
      </c>
      <c r="J49" s="6">
        <f t="shared" si="5"/>
        <v>0</v>
      </c>
      <c r="K49" s="13"/>
      <c r="L49" s="13"/>
      <c r="M49" s="13">
        <f t="shared" si="11"/>
        <v>0</v>
      </c>
      <c r="O49" s="6">
        <f t="shared" si="6"/>
        <v>0</v>
      </c>
      <c r="P49" s="134">
        <f t="shared" si="6"/>
        <v>0</v>
      </c>
      <c r="Q49" s="6">
        <f t="shared" si="6"/>
        <v>0</v>
      </c>
      <c r="R49" s="13"/>
      <c r="S49" s="13"/>
      <c r="T49" s="13">
        <f t="shared" si="15"/>
        <v>0</v>
      </c>
      <c r="V49" s="6">
        <f t="shared" si="7"/>
        <v>0</v>
      </c>
      <c r="W49" s="134">
        <f t="shared" si="7"/>
        <v>0</v>
      </c>
      <c r="X49" s="6">
        <f t="shared" si="7"/>
        <v>0</v>
      </c>
      <c r="Y49" s="13"/>
      <c r="Z49" s="13"/>
      <c r="AA49" s="13">
        <f t="shared" si="16"/>
        <v>0</v>
      </c>
      <c r="AC49" s="6">
        <f t="shared" si="8"/>
        <v>0</v>
      </c>
      <c r="AD49" s="134">
        <f t="shared" si="8"/>
        <v>0</v>
      </c>
      <c r="AE49" s="6">
        <f t="shared" si="8"/>
        <v>0</v>
      </c>
      <c r="AF49" s="13"/>
      <c r="AG49" s="13"/>
      <c r="AH49" s="13">
        <f t="shared" si="17"/>
        <v>0</v>
      </c>
      <c r="AJ49" s="6">
        <f t="shared" si="9"/>
        <v>0</v>
      </c>
      <c r="AK49" s="134">
        <f t="shared" si="9"/>
        <v>0</v>
      </c>
      <c r="AL49" s="6">
        <f t="shared" si="9"/>
        <v>0</v>
      </c>
      <c r="AM49" s="13"/>
      <c r="AN49" s="13"/>
      <c r="AO49" s="13">
        <f t="shared" si="18"/>
        <v>0</v>
      </c>
    </row>
    <row r="50" spans="1:42" x14ac:dyDescent="0.3">
      <c r="A50" s="6"/>
      <c r="B50" s="134"/>
      <c r="C50" s="6"/>
      <c r="D50" s="13"/>
      <c r="E50" s="13"/>
      <c r="F50" s="13">
        <f t="shared" si="20"/>
        <v>0</v>
      </c>
      <c r="H50" s="6">
        <f t="shared" si="5"/>
        <v>0</v>
      </c>
      <c r="I50" s="134">
        <f t="shared" si="5"/>
        <v>0</v>
      </c>
      <c r="J50" s="6">
        <f t="shared" si="5"/>
        <v>0</v>
      </c>
      <c r="K50" s="13"/>
      <c r="L50" s="13"/>
      <c r="M50" s="13">
        <f t="shared" si="11"/>
        <v>0</v>
      </c>
      <c r="O50" s="6">
        <f t="shared" si="6"/>
        <v>0</v>
      </c>
      <c r="P50" s="134">
        <f t="shared" si="6"/>
        <v>0</v>
      </c>
      <c r="Q50" s="6">
        <f t="shared" si="6"/>
        <v>0</v>
      </c>
      <c r="R50" s="13"/>
      <c r="S50" s="13"/>
      <c r="T50" s="13">
        <f t="shared" si="15"/>
        <v>0</v>
      </c>
      <c r="V50" s="6">
        <f t="shared" si="7"/>
        <v>0</v>
      </c>
      <c r="W50" s="134">
        <f t="shared" si="7"/>
        <v>0</v>
      </c>
      <c r="X50" s="6">
        <f t="shared" si="7"/>
        <v>0</v>
      </c>
      <c r="Y50" s="13"/>
      <c r="Z50" s="13"/>
      <c r="AA50" s="13">
        <f t="shared" si="16"/>
        <v>0</v>
      </c>
      <c r="AC50" s="6">
        <f t="shared" si="8"/>
        <v>0</v>
      </c>
      <c r="AD50" s="134">
        <f t="shared" si="8"/>
        <v>0</v>
      </c>
      <c r="AE50" s="6">
        <f t="shared" si="8"/>
        <v>0</v>
      </c>
      <c r="AF50" s="13"/>
      <c r="AG50" s="13"/>
      <c r="AH50" s="13">
        <f t="shared" si="17"/>
        <v>0</v>
      </c>
      <c r="AJ50" s="6">
        <f t="shared" si="9"/>
        <v>0</v>
      </c>
      <c r="AK50" s="134">
        <f t="shared" si="9"/>
        <v>0</v>
      </c>
      <c r="AL50" s="6">
        <f t="shared" si="9"/>
        <v>0</v>
      </c>
      <c r="AM50" s="13"/>
      <c r="AN50" s="13"/>
      <c r="AO50" s="13">
        <f t="shared" si="18"/>
        <v>0</v>
      </c>
    </row>
    <row r="51" spans="1:42" x14ac:dyDescent="0.3">
      <c r="A51" s="6"/>
      <c r="B51" s="134"/>
      <c r="C51" s="6"/>
      <c r="D51" s="13"/>
      <c r="E51" s="13"/>
      <c r="F51" s="13">
        <f t="shared" si="20"/>
        <v>0</v>
      </c>
      <c r="H51" s="6">
        <f t="shared" si="5"/>
        <v>0</v>
      </c>
      <c r="I51" s="134">
        <f t="shared" si="5"/>
        <v>0</v>
      </c>
      <c r="J51" s="6">
        <f t="shared" si="5"/>
        <v>0</v>
      </c>
      <c r="K51" s="13"/>
      <c r="L51" s="13"/>
      <c r="M51" s="13">
        <f t="shared" si="11"/>
        <v>0</v>
      </c>
      <c r="O51" s="6">
        <f t="shared" si="6"/>
        <v>0</v>
      </c>
      <c r="P51" s="134">
        <f t="shared" si="6"/>
        <v>0</v>
      </c>
      <c r="Q51" s="6">
        <f t="shared" si="6"/>
        <v>0</v>
      </c>
      <c r="R51" s="13"/>
      <c r="S51" s="13"/>
      <c r="T51" s="13">
        <f t="shared" si="15"/>
        <v>0</v>
      </c>
      <c r="V51" s="6">
        <f t="shared" si="7"/>
        <v>0</v>
      </c>
      <c r="W51" s="134">
        <f t="shared" si="7"/>
        <v>0</v>
      </c>
      <c r="X51" s="6">
        <f t="shared" si="7"/>
        <v>0</v>
      </c>
      <c r="Y51" s="13"/>
      <c r="Z51" s="13"/>
      <c r="AA51" s="13">
        <f t="shared" si="16"/>
        <v>0</v>
      </c>
      <c r="AC51" s="6">
        <f t="shared" si="8"/>
        <v>0</v>
      </c>
      <c r="AD51" s="134">
        <f t="shared" si="8"/>
        <v>0</v>
      </c>
      <c r="AE51" s="6">
        <f t="shared" si="8"/>
        <v>0</v>
      </c>
      <c r="AF51" s="13"/>
      <c r="AG51" s="13"/>
      <c r="AH51" s="13">
        <f t="shared" si="17"/>
        <v>0</v>
      </c>
      <c r="AJ51" s="6">
        <f t="shared" si="9"/>
        <v>0</v>
      </c>
      <c r="AK51" s="134">
        <f t="shared" si="9"/>
        <v>0</v>
      </c>
      <c r="AL51" s="6">
        <f t="shared" si="9"/>
        <v>0</v>
      </c>
      <c r="AM51" s="13"/>
      <c r="AN51" s="13"/>
      <c r="AO51" s="13">
        <f t="shared" si="18"/>
        <v>0</v>
      </c>
    </row>
    <row r="52" spans="1:42" x14ac:dyDescent="0.3">
      <c r="A52" s="6"/>
      <c r="B52" s="134"/>
      <c r="C52" s="6"/>
      <c r="D52" s="13"/>
      <c r="E52" s="13"/>
      <c r="F52" s="13">
        <f t="shared" si="20"/>
        <v>0</v>
      </c>
      <c r="H52" s="6">
        <f t="shared" si="5"/>
        <v>0</v>
      </c>
      <c r="I52" s="134">
        <f t="shared" si="5"/>
        <v>0</v>
      </c>
      <c r="J52" s="6">
        <f t="shared" si="5"/>
        <v>0</v>
      </c>
      <c r="K52" s="13"/>
      <c r="L52" s="13"/>
      <c r="M52" s="13">
        <f t="shared" si="11"/>
        <v>0</v>
      </c>
      <c r="O52" s="6">
        <f t="shared" si="6"/>
        <v>0</v>
      </c>
      <c r="P52" s="134">
        <f t="shared" si="6"/>
        <v>0</v>
      </c>
      <c r="Q52" s="6">
        <f t="shared" si="6"/>
        <v>0</v>
      </c>
      <c r="R52" s="13"/>
      <c r="S52" s="13"/>
      <c r="T52" s="13">
        <f t="shared" si="15"/>
        <v>0</v>
      </c>
      <c r="V52" s="6">
        <f t="shared" si="7"/>
        <v>0</v>
      </c>
      <c r="W52" s="134">
        <f t="shared" si="7"/>
        <v>0</v>
      </c>
      <c r="X52" s="6">
        <f t="shared" si="7"/>
        <v>0</v>
      </c>
      <c r="Y52" s="13"/>
      <c r="Z52" s="13"/>
      <c r="AA52" s="13">
        <f t="shared" si="16"/>
        <v>0</v>
      </c>
      <c r="AC52" s="6">
        <f t="shared" si="8"/>
        <v>0</v>
      </c>
      <c r="AD52" s="134">
        <f t="shared" si="8"/>
        <v>0</v>
      </c>
      <c r="AE52" s="6">
        <f t="shared" si="8"/>
        <v>0</v>
      </c>
      <c r="AF52" s="13"/>
      <c r="AG52" s="13"/>
      <c r="AH52" s="13">
        <f t="shared" si="17"/>
        <v>0</v>
      </c>
      <c r="AJ52" s="6">
        <f t="shared" si="9"/>
        <v>0</v>
      </c>
      <c r="AK52" s="134">
        <f t="shared" si="9"/>
        <v>0</v>
      </c>
      <c r="AL52" s="6">
        <f t="shared" si="9"/>
        <v>0</v>
      </c>
      <c r="AM52" s="13"/>
      <c r="AN52" s="13"/>
      <c r="AO52" s="13">
        <f t="shared" si="18"/>
        <v>0</v>
      </c>
    </row>
    <row r="53" spans="1:42" x14ac:dyDescent="0.3">
      <c r="A53" s="6"/>
      <c r="B53" s="134"/>
      <c r="C53" s="6"/>
      <c r="D53" s="13"/>
      <c r="E53" s="13"/>
      <c r="F53" s="13">
        <f t="shared" si="20"/>
        <v>0</v>
      </c>
      <c r="H53" s="6">
        <f t="shared" si="5"/>
        <v>0</v>
      </c>
      <c r="I53" s="134">
        <f t="shared" si="5"/>
        <v>0</v>
      </c>
      <c r="J53" s="6">
        <f t="shared" si="5"/>
        <v>0</v>
      </c>
      <c r="K53" s="13"/>
      <c r="L53" s="13"/>
      <c r="M53" s="13">
        <f t="shared" si="11"/>
        <v>0</v>
      </c>
      <c r="O53" s="6">
        <f t="shared" si="6"/>
        <v>0</v>
      </c>
      <c r="P53" s="134">
        <f t="shared" si="6"/>
        <v>0</v>
      </c>
      <c r="Q53" s="6">
        <f t="shared" si="6"/>
        <v>0</v>
      </c>
      <c r="R53" s="13"/>
      <c r="S53" s="13"/>
      <c r="T53" s="13">
        <f t="shared" si="15"/>
        <v>0</v>
      </c>
      <c r="V53" s="6">
        <f t="shared" si="7"/>
        <v>0</v>
      </c>
      <c r="W53" s="134">
        <f t="shared" si="7"/>
        <v>0</v>
      </c>
      <c r="X53" s="6">
        <f t="shared" si="7"/>
        <v>0</v>
      </c>
      <c r="Y53" s="13"/>
      <c r="Z53" s="13"/>
      <c r="AA53" s="13">
        <f t="shared" si="16"/>
        <v>0</v>
      </c>
      <c r="AC53" s="6">
        <f t="shared" si="8"/>
        <v>0</v>
      </c>
      <c r="AD53" s="134">
        <f t="shared" si="8"/>
        <v>0</v>
      </c>
      <c r="AE53" s="6">
        <f t="shared" si="8"/>
        <v>0</v>
      </c>
      <c r="AF53" s="13"/>
      <c r="AG53" s="13"/>
      <c r="AH53" s="13">
        <f t="shared" si="17"/>
        <v>0</v>
      </c>
      <c r="AJ53" s="6">
        <f t="shared" si="9"/>
        <v>0</v>
      </c>
      <c r="AK53" s="134">
        <f t="shared" si="9"/>
        <v>0</v>
      </c>
      <c r="AL53" s="6">
        <f t="shared" si="9"/>
        <v>0</v>
      </c>
      <c r="AM53" s="13"/>
      <c r="AN53" s="13"/>
      <c r="AO53" s="13">
        <f t="shared" si="18"/>
        <v>0</v>
      </c>
    </row>
    <row r="54" spans="1:42" x14ac:dyDescent="0.3">
      <c r="A54" s="6"/>
      <c r="B54" s="134"/>
      <c r="C54" s="6"/>
      <c r="D54" s="13"/>
      <c r="E54" s="13"/>
      <c r="F54" s="13">
        <f t="shared" si="20"/>
        <v>0</v>
      </c>
      <c r="H54" s="6">
        <f t="shared" si="5"/>
        <v>0</v>
      </c>
      <c r="I54" s="134">
        <f t="shared" si="5"/>
        <v>0</v>
      </c>
      <c r="J54" s="6">
        <f t="shared" si="5"/>
        <v>0</v>
      </c>
      <c r="K54" s="13"/>
      <c r="L54" s="13"/>
      <c r="M54" s="13">
        <f t="shared" si="11"/>
        <v>0</v>
      </c>
      <c r="O54" s="6">
        <f t="shared" si="6"/>
        <v>0</v>
      </c>
      <c r="P54" s="134">
        <f t="shared" si="6"/>
        <v>0</v>
      </c>
      <c r="Q54" s="6">
        <f t="shared" si="6"/>
        <v>0</v>
      </c>
      <c r="R54" s="13"/>
      <c r="S54" s="13"/>
      <c r="T54" s="13">
        <f t="shared" si="15"/>
        <v>0</v>
      </c>
      <c r="V54" s="6">
        <f t="shared" si="7"/>
        <v>0</v>
      </c>
      <c r="W54" s="134">
        <f t="shared" si="7"/>
        <v>0</v>
      </c>
      <c r="X54" s="6">
        <f t="shared" si="7"/>
        <v>0</v>
      </c>
      <c r="Y54" s="13"/>
      <c r="Z54" s="13"/>
      <c r="AA54" s="13">
        <f t="shared" si="16"/>
        <v>0</v>
      </c>
      <c r="AC54" s="6">
        <f t="shared" si="8"/>
        <v>0</v>
      </c>
      <c r="AD54" s="134">
        <f t="shared" si="8"/>
        <v>0</v>
      </c>
      <c r="AE54" s="6">
        <f t="shared" si="8"/>
        <v>0</v>
      </c>
      <c r="AF54" s="13"/>
      <c r="AG54" s="13"/>
      <c r="AH54" s="13">
        <f t="shared" si="17"/>
        <v>0</v>
      </c>
      <c r="AJ54" s="6">
        <f t="shared" si="9"/>
        <v>0</v>
      </c>
      <c r="AK54" s="134">
        <f t="shared" si="9"/>
        <v>0</v>
      </c>
      <c r="AL54" s="6">
        <f t="shared" si="9"/>
        <v>0</v>
      </c>
      <c r="AM54" s="13"/>
      <c r="AN54" s="13"/>
      <c r="AO54" s="13">
        <f t="shared" si="18"/>
        <v>0</v>
      </c>
    </row>
    <row r="55" spans="1:42" x14ac:dyDescent="0.3">
      <c r="A55" s="6"/>
      <c r="B55" s="134"/>
      <c r="C55" s="6"/>
      <c r="D55" s="13"/>
      <c r="E55" s="13"/>
      <c r="F55" s="13">
        <f t="shared" si="20"/>
        <v>0</v>
      </c>
      <c r="H55" s="6">
        <f t="shared" si="5"/>
        <v>0</v>
      </c>
      <c r="I55" s="134">
        <f t="shared" si="5"/>
        <v>0</v>
      </c>
      <c r="J55" s="6">
        <f t="shared" si="5"/>
        <v>0</v>
      </c>
      <c r="K55" s="13"/>
      <c r="L55" s="13"/>
      <c r="M55" s="13">
        <f t="shared" si="11"/>
        <v>0</v>
      </c>
      <c r="O55" s="6">
        <f t="shared" si="6"/>
        <v>0</v>
      </c>
      <c r="P55" s="134">
        <f t="shared" si="6"/>
        <v>0</v>
      </c>
      <c r="Q55" s="6">
        <f t="shared" si="6"/>
        <v>0</v>
      </c>
      <c r="R55" s="13"/>
      <c r="S55" s="13"/>
      <c r="T55" s="13">
        <f t="shared" si="15"/>
        <v>0</v>
      </c>
      <c r="V55" s="6">
        <f t="shared" si="7"/>
        <v>0</v>
      </c>
      <c r="W55" s="134">
        <f t="shared" si="7"/>
        <v>0</v>
      </c>
      <c r="X55" s="6">
        <f t="shared" si="7"/>
        <v>0</v>
      </c>
      <c r="Y55" s="13"/>
      <c r="Z55" s="13"/>
      <c r="AA55" s="13">
        <f t="shared" si="16"/>
        <v>0</v>
      </c>
      <c r="AC55" s="6">
        <f t="shared" si="8"/>
        <v>0</v>
      </c>
      <c r="AD55" s="134">
        <f t="shared" si="8"/>
        <v>0</v>
      </c>
      <c r="AE55" s="6">
        <f t="shared" si="8"/>
        <v>0</v>
      </c>
      <c r="AF55" s="13"/>
      <c r="AG55" s="13"/>
      <c r="AH55" s="13">
        <f t="shared" si="17"/>
        <v>0</v>
      </c>
      <c r="AJ55" s="6">
        <f t="shared" si="9"/>
        <v>0</v>
      </c>
      <c r="AK55" s="134">
        <f t="shared" si="9"/>
        <v>0</v>
      </c>
      <c r="AL55" s="6">
        <f t="shared" si="9"/>
        <v>0</v>
      </c>
      <c r="AM55" s="13"/>
      <c r="AN55" s="13"/>
      <c r="AO55" s="13">
        <f t="shared" si="18"/>
        <v>0</v>
      </c>
    </row>
    <row r="56" spans="1:42" x14ac:dyDescent="0.3">
      <c r="A56" s="6"/>
      <c r="B56" s="134"/>
      <c r="C56" s="6"/>
      <c r="D56" s="13"/>
      <c r="E56" s="13"/>
      <c r="F56" s="13">
        <f t="shared" si="20"/>
        <v>0</v>
      </c>
      <c r="H56" s="6">
        <f t="shared" si="5"/>
        <v>0</v>
      </c>
      <c r="I56" s="134">
        <f t="shared" si="5"/>
        <v>0</v>
      </c>
      <c r="J56" s="6">
        <f t="shared" si="5"/>
        <v>0</v>
      </c>
      <c r="K56" s="13"/>
      <c r="L56" s="13"/>
      <c r="M56" s="13">
        <f t="shared" si="11"/>
        <v>0</v>
      </c>
      <c r="O56" s="6">
        <f t="shared" si="6"/>
        <v>0</v>
      </c>
      <c r="P56" s="134">
        <f t="shared" si="6"/>
        <v>0</v>
      </c>
      <c r="Q56" s="6">
        <f t="shared" si="6"/>
        <v>0</v>
      </c>
      <c r="R56" s="13"/>
      <c r="S56" s="13"/>
      <c r="T56" s="13">
        <f t="shared" si="15"/>
        <v>0</v>
      </c>
      <c r="V56" s="6">
        <f t="shared" si="7"/>
        <v>0</v>
      </c>
      <c r="W56" s="134">
        <f t="shared" si="7"/>
        <v>0</v>
      </c>
      <c r="X56" s="6">
        <f t="shared" si="7"/>
        <v>0</v>
      </c>
      <c r="Y56" s="13"/>
      <c r="Z56" s="13"/>
      <c r="AA56" s="13">
        <f t="shared" si="16"/>
        <v>0</v>
      </c>
      <c r="AC56" s="6" t="s">
        <v>860</v>
      </c>
      <c r="AD56" s="134">
        <v>44489</v>
      </c>
      <c r="AE56" s="6" t="s">
        <v>20</v>
      </c>
      <c r="AF56" s="13"/>
      <c r="AG56" s="13"/>
      <c r="AH56" s="13">
        <f t="shared" si="17"/>
        <v>0</v>
      </c>
      <c r="AJ56" s="6">
        <f t="shared" si="9"/>
        <v>0</v>
      </c>
      <c r="AK56" s="134">
        <f t="shared" si="9"/>
        <v>0</v>
      </c>
      <c r="AL56" s="6">
        <f t="shared" si="9"/>
        <v>0</v>
      </c>
      <c r="AM56" s="13"/>
      <c r="AN56" s="13"/>
      <c r="AO56" s="13">
        <f t="shared" si="18"/>
        <v>0</v>
      </c>
    </row>
    <row r="57" spans="1:42" x14ac:dyDescent="0.3">
      <c r="A57" s="6"/>
      <c r="B57" s="134"/>
      <c r="C57" s="6"/>
      <c r="D57" s="13"/>
      <c r="E57" s="13"/>
      <c r="F57" s="13">
        <f t="shared" si="20"/>
        <v>0</v>
      </c>
      <c r="H57" s="6">
        <f t="shared" si="5"/>
        <v>0</v>
      </c>
      <c r="I57" s="134">
        <f t="shared" si="5"/>
        <v>0</v>
      </c>
      <c r="J57" s="6">
        <f t="shared" si="5"/>
        <v>0</v>
      </c>
      <c r="K57" s="13"/>
      <c r="L57" s="13"/>
      <c r="M57" s="13">
        <f t="shared" si="11"/>
        <v>0</v>
      </c>
      <c r="O57" s="6">
        <f t="shared" si="6"/>
        <v>0</v>
      </c>
      <c r="P57" s="134">
        <f t="shared" si="6"/>
        <v>0</v>
      </c>
      <c r="Q57" s="6">
        <f t="shared" si="6"/>
        <v>0</v>
      </c>
      <c r="R57" s="13"/>
      <c r="S57" s="13"/>
      <c r="T57" s="13">
        <f t="shared" si="15"/>
        <v>0</v>
      </c>
      <c r="V57" s="6">
        <f t="shared" si="7"/>
        <v>0</v>
      </c>
      <c r="W57" s="134">
        <f t="shared" si="7"/>
        <v>0</v>
      </c>
      <c r="X57" s="6">
        <f t="shared" si="7"/>
        <v>0</v>
      </c>
      <c r="Y57" s="13"/>
      <c r="Z57" s="13"/>
      <c r="AA57" s="13">
        <f t="shared" si="16"/>
        <v>0</v>
      </c>
      <c r="AC57" s="6">
        <f t="shared" si="8"/>
        <v>0</v>
      </c>
      <c r="AD57" s="134">
        <f t="shared" si="8"/>
        <v>0</v>
      </c>
      <c r="AE57" s="6">
        <f t="shared" si="8"/>
        <v>0</v>
      </c>
      <c r="AF57" s="13"/>
      <c r="AG57" s="13"/>
      <c r="AH57" s="13">
        <f t="shared" si="17"/>
        <v>0</v>
      </c>
      <c r="AJ57" s="6">
        <f t="shared" si="9"/>
        <v>0</v>
      </c>
      <c r="AK57" s="134">
        <f t="shared" si="9"/>
        <v>0</v>
      </c>
      <c r="AL57" s="6">
        <f t="shared" si="9"/>
        <v>0</v>
      </c>
      <c r="AM57" s="13"/>
      <c r="AN57" s="13"/>
      <c r="AO57" s="13">
        <f t="shared" si="18"/>
        <v>0</v>
      </c>
    </row>
    <row r="58" spans="1:42" x14ac:dyDescent="0.3">
      <c r="A58" s="6"/>
      <c r="B58" s="134"/>
      <c r="C58" s="6"/>
      <c r="D58" s="13"/>
      <c r="E58" s="13"/>
      <c r="F58" s="13">
        <f t="shared" si="10"/>
        <v>0</v>
      </c>
      <c r="H58" s="6">
        <f t="shared" si="5"/>
        <v>0</v>
      </c>
      <c r="I58" s="134">
        <f t="shared" si="5"/>
        <v>0</v>
      </c>
      <c r="J58" s="6">
        <f t="shared" si="5"/>
        <v>0</v>
      </c>
      <c r="K58" s="13"/>
      <c r="L58" s="13"/>
      <c r="M58" s="13">
        <f t="shared" si="11"/>
        <v>0</v>
      </c>
      <c r="O58" s="6">
        <f t="shared" si="6"/>
        <v>0</v>
      </c>
      <c r="P58" s="134">
        <f t="shared" si="6"/>
        <v>0</v>
      </c>
      <c r="Q58" s="6">
        <f t="shared" si="6"/>
        <v>0</v>
      </c>
      <c r="R58" s="13"/>
      <c r="S58" s="13"/>
      <c r="T58" s="13">
        <f t="shared" si="1"/>
        <v>0</v>
      </c>
      <c r="V58" s="6">
        <f t="shared" si="7"/>
        <v>0</v>
      </c>
      <c r="W58" s="134">
        <f t="shared" si="7"/>
        <v>0</v>
      </c>
      <c r="X58" s="6">
        <f t="shared" si="7"/>
        <v>0</v>
      </c>
      <c r="Y58" s="13"/>
      <c r="Z58" s="13"/>
      <c r="AA58" s="13">
        <f t="shared" si="16"/>
        <v>0</v>
      </c>
      <c r="AC58" s="6">
        <f t="shared" si="8"/>
        <v>0</v>
      </c>
      <c r="AD58" s="134">
        <f t="shared" si="8"/>
        <v>0</v>
      </c>
      <c r="AE58" s="6">
        <f t="shared" si="8"/>
        <v>0</v>
      </c>
      <c r="AF58" s="13"/>
      <c r="AG58" s="13"/>
      <c r="AH58" s="13">
        <f t="shared" si="17"/>
        <v>0</v>
      </c>
      <c r="AJ58" s="6">
        <f t="shared" si="9"/>
        <v>0</v>
      </c>
      <c r="AK58" s="134">
        <f t="shared" si="9"/>
        <v>0</v>
      </c>
      <c r="AL58" s="6">
        <f t="shared" si="9"/>
        <v>0</v>
      </c>
      <c r="AM58" s="13"/>
      <c r="AN58" s="13"/>
      <c r="AO58" s="13">
        <f t="shared" si="18"/>
        <v>0</v>
      </c>
    </row>
    <row r="59" spans="1:42" x14ac:dyDescent="0.3">
      <c r="D59" s="9">
        <f>SUM(D5:D58)</f>
        <v>0</v>
      </c>
      <c r="E59" s="9">
        <f>SUM(E5:E58)</f>
        <v>0</v>
      </c>
      <c r="F59" s="9">
        <f>SUM(F5:F58)</f>
        <v>0</v>
      </c>
      <c r="K59" s="9">
        <f>SUM(K5:K58)</f>
        <v>0</v>
      </c>
      <c r="L59" s="9">
        <f>SUM(L5:L58)</f>
        <v>0</v>
      </c>
      <c r="M59" s="9">
        <f>SUM(M5:M58)</f>
        <v>0</v>
      </c>
      <c r="R59" s="9">
        <f>SUM(R5:R58)</f>
        <v>0</v>
      </c>
      <c r="S59" s="9">
        <f>SUM(S5:S58)</f>
        <v>0</v>
      </c>
      <c r="T59" s="9">
        <f>SUM(T5:T58)</f>
        <v>0</v>
      </c>
      <c r="Y59" s="9">
        <f>SUM(Y5:Y58)</f>
        <v>0</v>
      </c>
      <c r="Z59" s="9">
        <f>SUM(Z5:Z58)</f>
        <v>0</v>
      </c>
      <c r="AA59" s="9">
        <f>SUM(AA5:AA58)</f>
        <v>0</v>
      </c>
      <c r="AF59" s="9">
        <f>SUM(AF5:AF58)</f>
        <v>0</v>
      </c>
      <c r="AG59" s="9">
        <f>SUM(AG5:AG58)</f>
        <v>0</v>
      </c>
      <c r="AH59" s="9">
        <f>SUM(AH5:AH58)</f>
        <v>0</v>
      </c>
      <c r="AM59" s="9">
        <f>SUM(AM5:AM58)</f>
        <v>6112.4699999999993</v>
      </c>
      <c r="AN59" s="9">
        <f>SUM(AN5:AN58)</f>
        <v>1963.5900000000001</v>
      </c>
      <c r="AO59" s="9">
        <f>SUM(AO5:AO58)</f>
        <v>8076.0599999999995</v>
      </c>
    </row>
    <row r="60" spans="1:42" x14ac:dyDescent="0.3">
      <c r="F60" s="9"/>
      <c r="J60" s="145"/>
      <c r="K60" s="16"/>
      <c r="L60" s="16"/>
      <c r="M60" s="16"/>
      <c r="N60" s="144"/>
      <c r="Q60" s="145"/>
      <c r="R60" s="16"/>
      <c r="S60" s="16"/>
      <c r="T60" s="16"/>
      <c r="U60" s="144"/>
      <c r="X60" s="145"/>
      <c r="Y60" s="16"/>
      <c r="Z60" s="16"/>
      <c r="AA60" s="16"/>
      <c r="AB60" s="144"/>
      <c r="AE60" s="145"/>
      <c r="AF60" s="16"/>
      <c r="AG60" s="16"/>
      <c r="AH60" s="16"/>
      <c r="AI60" s="144"/>
      <c r="AL60" s="145"/>
      <c r="AM60" s="16"/>
      <c r="AN60" s="16">
        <f>PurchasingARPA22!I10+PurchasingARPA22!I12</f>
        <v>16207.150000000001</v>
      </c>
      <c r="AO60" s="16">
        <f>AN60</f>
        <v>16207.150000000001</v>
      </c>
      <c r="AP60" t="s">
        <v>1248</v>
      </c>
    </row>
    <row r="61" spans="1:42" x14ac:dyDescent="0.3">
      <c r="D61" s="187" t="s">
        <v>1233</v>
      </c>
      <c r="E61" s="187"/>
      <c r="F61" s="187"/>
      <c r="J61" s="145"/>
      <c r="K61" s="16"/>
      <c r="L61" s="16"/>
      <c r="M61" s="16"/>
      <c r="N61" s="144"/>
      <c r="Q61" s="145"/>
      <c r="R61" s="16"/>
      <c r="S61" s="16"/>
      <c r="T61" s="16"/>
      <c r="U61" s="144"/>
      <c r="X61" s="145"/>
      <c r="Y61" s="16"/>
      <c r="Z61" s="16"/>
      <c r="AA61" s="16"/>
      <c r="AB61" s="144"/>
      <c r="AE61" s="145"/>
      <c r="AF61" s="16"/>
      <c r="AG61" s="16"/>
      <c r="AH61" s="16"/>
      <c r="AI61" s="144"/>
      <c r="AL61" s="145"/>
      <c r="AM61" s="16"/>
      <c r="AN61" s="16"/>
      <c r="AO61" s="16"/>
    </row>
    <row r="62" spans="1:42" ht="15" thickBot="1" x14ac:dyDescent="0.35">
      <c r="D62" s="14">
        <f>D59+K63+R63+Y63+AF63+AM63</f>
        <v>6112.4699999999993</v>
      </c>
      <c r="E62" s="14">
        <f>E59+L63+S63+Z63+AG63+AN63</f>
        <v>18170.740000000002</v>
      </c>
      <c r="F62" s="14">
        <f>F59+M63+T63+AA63+AH63+AO63</f>
        <v>24283.21</v>
      </c>
      <c r="J62" s="145"/>
      <c r="K62" s="16"/>
      <c r="L62" s="16"/>
      <c r="M62" s="16"/>
      <c r="N62" s="144"/>
    </row>
    <row r="63" spans="1:42" ht="15" thickBot="1" x14ac:dyDescent="0.35">
      <c r="C63" s="47" t="s">
        <v>28</v>
      </c>
      <c r="D63" s="9">
        <v>6112.47</v>
      </c>
      <c r="E63" s="9">
        <v>18170.740000000002</v>
      </c>
      <c r="F63" s="9">
        <f>D63+E63</f>
        <v>24283.210000000003</v>
      </c>
      <c r="K63" s="146">
        <f>SUM(K59:K62)</f>
        <v>0</v>
      </c>
      <c r="L63" s="146">
        <f t="shared" ref="L63:M63" si="21">SUM(L59:L62)</f>
        <v>0</v>
      </c>
      <c r="M63" s="146">
        <f t="shared" si="21"/>
        <v>0</v>
      </c>
      <c r="R63" s="146">
        <f>SUM(R59:R62)</f>
        <v>0</v>
      </c>
      <c r="S63" s="146">
        <f t="shared" ref="S63:T63" si="22">SUM(S59:S62)</f>
        <v>0</v>
      </c>
      <c r="T63" s="146">
        <f t="shared" si="22"/>
        <v>0</v>
      </c>
      <c r="Y63" s="146">
        <f>SUM(Y59:Y62)</f>
        <v>0</v>
      </c>
      <c r="Z63" s="146">
        <f t="shared" ref="Z63:AA63" si="23">SUM(Z59:Z62)</f>
        <v>0</v>
      </c>
      <c r="AA63" s="146">
        <f t="shared" si="23"/>
        <v>0</v>
      </c>
      <c r="AF63" s="146">
        <f>SUM(AF59:AF62)</f>
        <v>0</v>
      </c>
      <c r="AG63" s="146">
        <f t="shared" ref="AG63:AH63" si="24">SUM(AG59:AG62)</f>
        <v>0</v>
      </c>
      <c r="AH63" s="146">
        <f t="shared" si="24"/>
        <v>0</v>
      </c>
      <c r="AM63" s="146">
        <f>SUM(AM59:AM62)</f>
        <v>6112.4699999999993</v>
      </c>
      <c r="AN63" s="146">
        <f t="shared" ref="AN63:AO63" si="25">SUM(AN59:AN62)</f>
        <v>18170.740000000002</v>
      </c>
      <c r="AO63" s="146">
        <f t="shared" si="25"/>
        <v>24283.21</v>
      </c>
    </row>
    <row r="64" spans="1:42" x14ac:dyDescent="0.3">
      <c r="D64" s="9">
        <f>D62-D63</f>
        <v>0</v>
      </c>
      <c r="E64" s="9">
        <f>E62-E63</f>
        <v>0</v>
      </c>
      <c r="F64" s="9">
        <f>F62-F63</f>
        <v>0</v>
      </c>
    </row>
    <row r="65" spans="41:41" x14ac:dyDescent="0.3">
      <c r="AO65" s="16"/>
    </row>
  </sheetData>
  <mergeCells count="13">
    <mergeCell ref="D61:F61"/>
    <mergeCell ref="A3:C3"/>
    <mergeCell ref="H3:J3"/>
    <mergeCell ref="O3:Q3"/>
    <mergeCell ref="V3:X3"/>
    <mergeCell ref="AC3:AE3"/>
    <mergeCell ref="AJ3:AL3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scale="27" orientation="portrait" r:id="rId1"/>
  <headerFoot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28FD-A42B-4863-8EDD-643839BAEA73}">
  <sheetPr>
    <tabColor theme="3" tint="0.59999389629810485"/>
    <pageSetUpPr fitToPage="1"/>
  </sheetPr>
  <dimension ref="A1:AO64"/>
  <sheetViews>
    <sheetView zoomScaleNormal="100" workbookViewId="0">
      <selection activeCell="A62" sqref="A62"/>
    </sheetView>
  </sheetViews>
  <sheetFormatPr defaultRowHeight="14.4" x14ac:dyDescent="0.3"/>
  <cols>
    <col min="1" max="1" width="18.44140625" customWidth="1"/>
    <col min="2" max="2" width="10.5546875" style="8" customWidth="1"/>
    <col min="3" max="3" width="5.33203125" customWidth="1"/>
    <col min="4" max="4" width="11" style="9" bestFit="1" customWidth="1"/>
    <col min="5" max="5" width="10.33203125" style="9" bestFit="1" customWidth="1"/>
    <col min="6" max="6" width="11.33203125" customWidth="1"/>
    <col min="7" max="7" width="2.33203125" customWidth="1"/>
    <col min="8" max="8" width="18.44140625" customWidth="1"/>
    <col min="9" max="9" width="10.44140625" style="8" customWidth="1"/>
    <col min="10" max="10" width="4.6640625" customWidth="1"/>
    <col min="11" max="11" width="11.33203125" customWidth="1"/>
    <col min="12" max="12" width="9.5546875" customWidth="1"/>
    <col min="13" max="13" width="6.5546875" bestFit="1" customWidth="1"/>
    <col min="14" max="14" width="1.6640625" customWidth="1"/>
    <col min="15" max="15" width="18.44140625" customWidth="1"/>
    <col min="16" max="16" width="10.33203125" style="8" customWidth="1"/>
    <col min="17" max="17" width="4.6640625" customWidth="1"/>
    <col min="18" max="18" width="11" bestFit="1" customWidth="1"/>
    <col min="19" max="19" width="8.6640625" bestFit="1" customWidth="1"/>
    <col min="20" max="20" width="6.5546875" bestFit="1" customWidth="1"/>
    <col min="21" max="21" width="1.6640625" customWidth="1"/>
    <col min="22" max="22" width="18.44140625" customWidth="1"/>
    <col min="23" max="23" width="10.33203125" style="8" customWidth="1"/>
    <col min="24" max="24" width="4.6640625" customWidth="1"/>
    <col min="25" max="25" width="11" bestFit="1" customWidth="1"/>
    <col min="26" max="26" width="10.33203125" bestFit="1" customWidth="1"/>
    <col min="27" max="27" width="11.33203125" bestFit="1" customWidth="1"/>
    <col min="28" max="28" width="1.6640625" customWidth="1"/>
    <col min="29" max="29" width="18.44140625" customWidth="1"/>
    <col min="30" max="30" width="10.33203125" style="8" customWidth="1"/>
    <col min="31" max="31" width="4.6640625" customWidth="1"/>
    <col min="32" max="32" width="11" bestFit="1" customWidth="1"/>
    <col min="33" max="33" width="9.33203125" bestFit="1" customWidth="1"/>
    <col min="34" max="34" width="10.33203125" bestFit="1" customWidth="1"/>
    <col min="35" max="35" width="1.6640625" customWidth="1"/>
    <col min="36" max="36" width="18.44140625" customWidth="1"/>
    <col min="37" max="37" width="10.33203125" style="8" customWidth="1"/>
    <col min="38" max="38" width="4.6640625" customWidth="1"/>
    <col min="39" max="39" width="11" bestFit="1" customWidth="1"/>
    <col min="40" max="40" width="9.33203125" bestFit="1" customWidth="1"/>
    <col min="41" max="41" width="10.33203125" bestFit="1" customWidth="1"/>
  </cols>
  <sheetData>
    <row r="1" spans="1:41" x14ac:dyDescent="0.3">
      <c r="A1" s="189" t="s">
        <v>476</v>
      </c>
      <c r="B1" s="189"/>
      <c r="C1" s="189"/>
      <c r="D1" s="189"/>
      <c r="E1" s="189"/>
      <c r="F1" s="189"/>
      <c r="H1" s="189" t="s">
        <v>477</v>
      </c>
      <c r="I1" s="189"/>
      <c r="J1" s="189"/>
      <c r="K1" s="189"/>
      <c r="L1" s="189"/>
      <c r="M1" s="189"/>
      <c r="O1" s="189" t="s">
        <v>478</v>
      </c>
      <c r="P1" s="189"/>
      <c r="Q1" s="189"/>
      <c r="R1" s="189"/>
      <c r="S1" s="189"/>
      <c r="T1" s="189"/>
      <c r="V1" s="189" t="s">
        <v>933</v>
      </c>
      <c r="W1" s="189"/>
      <c r="X1" s="189"/>
      <c r="Y1" s="189"/>
      <c r="Z1" s="189"/>
      <c r="AA1" s="189"/>
      <c r="AC1" s="189" t="s">
        <v>976</v>
      </c>
      <c r="AD1" s="189"/>
      <c r="AE1" s="189"/>
      <c r="AF1" s="189"/>
      <c r="AG1" s="189"/>
      <c r="AH1" s="189"/>
      <c r="AJ1" s="189" t="s">
        <v>1236</v>
      </c>
      <c r="AK1" s="189"/>
      <c r="AL1" s="189"/>
      <c r="AM1" s="189"/>
      <c r="AN1" s="189"/>
      <c r="AO1" s="189"/>
    </row>
    <row r="2" spans="1:41" x14ac:dyDescent="0.3">
      <c r="A2" s="3"/>
      <c r="B2" s="167"/>
      <c r="C2" s="123" t="s">
        <v>494</v>
      </c>
      <c r="H2" s="3"/>
      <c r="I2" s="167"/>
      <c r="J2" s="123" t="s">
        <v>493</v>
      </c>
      <c r="K2" s="9"/>
      <c r="L2" s="9"/>
      <c r="O2" s="3"/>
      <c r="P2" s="167"/>
      <c r="Q2" s="123" t="s">
        <v>495</v>
      </c>
      <c r="R2" s="9"/>
      <c r="S2" s="9"/>
      <c r="V2" s="3"/>
      <c r="W2" s="167"/>
      <c r="X2" s="123" t="s">
        <v>934</v>
      </c>
      <c r="Y2" s="9"/>
      <c r="Z2" s="9"/>
      <c r="AC2" s="3"/>
      <c r="AD2" s="167"/>
      <c r="AE2" s="123" t="s">
        <v>1235</v>
      </c>
      <c r="AF2" s="9"/>
      <c r="AG2" s="9"/>
      <c r="AJ2" s="3"/>
      <c r="AK2" s="167"/>
      <c r="AL2" s="123" t="s">
        <v>1237</v>
      </c>
      <c r="AM2" s="9"/>
      <c r="AN2" s="9"/>
    </row>
    <row r="3" spans="1:41" x14ac:dyDescent="0.3">
      <c r="A3" s="188"/>
      <c r="B3" s="188"/>
      <c r="C3" s="188"/>
      <c r="H3" s="188"/>
      <c r="I3" s="188"/>
      <c r="J3" s="188"/>
      <c r="K3" s="9"/>
      <c r="L3" s="9"/>
      <c r="O3" s="188"/>
      <c r="P3" s="188"/>
      <c r="Q3" s="188"/>
      <c r="R3" s="9"/>
      <c r="S3" s="9"/>
      <c r="V3" s="188"/>
      <c r="W3" s="188"/>
      <c r="X3" s="188"/>
      <c r="Y3" s="9"/>
      <c r="Z3" s="9"/>
      <c r="AC3" s="188"/>
      <c r="AD3" s="188"/>
      <c r="AE3" s="188"/>
      <c r="AF3" s="9"/>
      <c r="AG3" s="9"/>
      <c r="AJ3" s="188"/>
      <c r="AK3" s="188"/>
      <c r="AL3" s="188"/>
      <c r="AM3" s="9"/>
      <c r="AN3" s="9"/>
    </row>
    <row r="4" spans="1:41" ht="43.2" x14ac:dyDescent="0.3">
      <c r="A4" s="4" t="s">
        <v>935</v>
      </c>
      <c r="B4" s="10" t="s">
        <v>22</v>
      </c>
      <c r="C4" s="4" t="s">
        <v>19</v>
      </c>
      <c r="D4" s="49" t="s">
        <v>326</v>
      </c>
      <c r="E4" s="49" t="s">
        <v>325</v>
      </c>
      <c r="F4" s="11" t="s">
        <v>25</v>
      </c>
      <c r="H4" s="4" t="str">
        <f>A4</f>
        <v>Pay Period  FY2021</v>
      </c>
      <c r="I4" s="10" t="s">
        <v>22</v>
      </c>
      <c r="J4" s="4" t="s">
        <v>19</v>
      </c>
      <c r="K4" s="49" t="s">
        <v>326</v>
      </c>
      <c r="L4" s="49" t="s">
        <v>325</v>
      </c>
      <c r="M4" s="11" t="s">
        <v>25</v>
      </c>
      <c r="O4" s="4" t="str">
        <f>A4</f>
        <v>Pay Period  FY2021</v>
      </c>
      <c r="P4" s="10" t="s">
        <v>22</v>
      </c>
      <c r="Q4" s="4" t="s">
        <v>19</v>
      </c>
      <c r="R4" s="49" t="s">
        <v>326</v>
      </c>
      <c r="S4" s="49" t="s">
        <v>325</v>
      </c>
      <c r="T4" s="11" t="s">
        <v>25</v>
      </c>
      <c r="V4" s="4" t="str">
        <f>A4</f>
        <v>Pay Period  FY2021</v>
      </c>
      <c r="W4" s="10" t="s">
        <v>22</v>
      </c>
      <c r="X4" s="4" t="s">
        <v>19</v>
      </c>
      <c r="Y4" s="49" t="s">
        <v>326</v>
      </c>
      <c r="Z4" s="49" t="s">
        <v>325</v>
      </c>
      <c r="AA4" s="11" t="s">
        <v>25</v>
      </c>
      <c r="AC4" s="4" t="str">
        <f>H4</f>
        <v>Pay Period  FY2021</v>
      </c>
      <c r="AD4" s="10" t="s">
        <v>22</v>
      </c>
      <c r="AE4" s="4" t="s">
        <v>19</v>
      </c>
      <c r="AF4" s="49" t="s">
        <v>326</v>
      </c>
      <c r="AG4" s="49" t="s">
        <v>325</v>
      </c>
      <c r="AH4" s="11" t="s">
        <v>25</v>
      </c>
      <c r="AJ4" s="4" t="str">
        <f>O4</f>
        <v>Pay Period  FY2021</v>
      </c>
      <c r="AK4" s="10" t="s">
        <v>22</v>
      </c>
      <c r="AL4" s="4" t="s">
        <v>19</v>
      </c>
      <c r="AM4" s="49" t="s">
        <v>326</v>
      </c>
      <c r="AN4" s="49" t="s">
        <v>325</v>
      </c>
      <c r="AO4" s="11" t="s">
        <v>25</v>
      </c>
    </row>
    <row r="5" spans="1:41" ht="28.5" customHeight="1" x14ac:dyDescent="0.3">
      <c r="A5" s="6" t="s">
        <v>781</v>
      </c>
      <c r="B5" s="134">
        <v>44125</v>
      </c>
      <c r="C5" s="6" t="s">
        <v>20</v>
      </c>
      <c r="D5" s="13">
        <v>4868.0600000000004</v>
      </c>
      <c r="E5" s="13">
        <v>1236.42</v>
      </c>
      <c r="F5" s="13">
        <f t="shared" ref="F5" si="0">SUM(D5:E5)</f>
        <v>6104.4800000000005</v>
      </c>
      <c r="H5" s="6" t="str">
        <f>A5</f>
        <v>10/1/20-10/14/20</v>
      </c>
      <c r="I5" s="134">
        <f>B5</f>
        <v>44125</v>
      </c>
      <c r="J5" s="6" t="str">
        <f>C5</f>
        <v>BW</v>
      </c>
      <c r="K5" s="13"/>
      <c r="L5" s="13"/>
      <c r="M5" s="13">
        <f>SUM(K5:L5)</f>
        <v>0</v>
      </c>
      <c r="O5" s="6" t="str">
        <f>A5</f>
        <v>10/1/20-10/14/20</v>
      </c>
      <c r="P5" s="134">
        <f>B5</f>
        <v>44125</v>
      </c>
      <c r="Q5" s="6" t="str">
        <f>C5</f>
        <v>BW</v>
      </c>
      <c r="R5" s="13"/>
      <c r="S5" s="13"/>
      <c r="T5" s="13">
        <f t="shared" ref="T5:T58" si="1">SUM(R5:S5)</f>
        <v>0</v>
      </c>
      <c r="V5" s="6" t="str">
        <f>A5</f>
        <v>10/1/20-10/14/20</v>
      </c>
      <c r="W5" s="134">
        <f>B5</f>
        <v>44125</v>
      </c>
      <c r="X5" s="6" t="str">
        <f>C5</f>
        <v>BW</v>
      </c>
      <c r="Y5" s="13"/>
      <c r="Z5" s="13"/>
      <c r="AA5" s="13">
        <f t="shared" ref="AA5:AA27" si="2">SUM(Y5:Z5)</f>
        <v>0</v>
      </c>
      <c r="AC5" s="6" t="str">
        <f>H5</f>
        <v>10/1/20-10/14/20</v>
      </c>
      <c r="AD5" s="134">
        <f>I5</f>
        <v>44125</v>
      </c>
      <c r="AE5" s="6" t="str">
        <f>J5</f>
        <v>BW</v>
      </c>
      <c r="AF5" s="13"/>
      <c r="AG5" s="13"/>
      <c r="AH5" s="13">
        <f t="shared" ref="AH5:AH27" si="3">SUM(AF5:AG5)</f>
        <v>0</v>
      </c>
      <c r="AJ5" s="6" t="str">
        <f>O5</f>
        <v>10/1/20-10/14/20</v>
      </c>
      <c r="AK5" s="134">
        <f>P5</f>
        <v>44125</v>
      </c>
      <c r="AL5" s="6" t="str">
        <f>Q5</f>
        <v>BW</v>
      </c>
      <c r="AM5" s="13"/>
      <c r="AN5" s="13"/>
      <c r="AO5" s="13">
        <f t="shared" ref="AO5:AO27" si="4">SUM(AM5:AN5)</f>
        <v>0</v>
      </c>
    </row>
    <row r="6" spans="1:41" x14ac:dyDescent="0.3">
      <c r="A6" s="6" t="s">
        <v>780</v>
      </c>
      <c r="B6" s="134">
        <v>44125</v>
      </c>
      <c r="C6" s="6" t="s">
        <v>21</v>
      </c>
      <c r="D6" s="13">
        <v>4440.1099999999997</v>
      </c>
      <c r="E6" s="13">
        <v>1490.55</v>
      </c>
      <c r="F6" s="13">
        <f>SUM(D6:E6)</f>
        <v>5930.66</v>
      </c>
      <c r="H6" s="6" t="str">
        <f t="shared" ref="H6:H58" si="5">A6</f>
        <v>9/30/20-10/14 (14days)</v>
      </c>
      <c r="I6" s="134">
        <f t="shared" ref="I6:I58" si="6">B6</f>
        <v>44125</v>
      </c>
      <c r="J6" s="6" t="str">
        <f t="shared" ref="J6:J58" si="7">C6</f>
        <v>Fire</v>
      </c>
      <c r="K6" s="13"/>
      <c r="L6" s="13"/>
      <c r="M6" s="13">
        <f>SUM(K6:L6)</f>
        <v>0</v>
      </c>
      <c r="O6" s="6" t="str">
        <f t="shared" ref="O6:O58" si="8">A6</f>
        <v>9/30/20-10/14 (14days)</v>
      </c>
      <c r="P6" s="134">
        <f t="shared" ref="P6:P58" si="9">B6</f>
        <v>44125</v>
      </c>
      <c r="Q6" s="6" t="str">
        <f t="shared" ref="Q6:Q58" si="10">C6</f>
        <v>Fire</v>
      </c>
      <c r="R6" s="13"/>
      <c r="S6" s="13"/>
      <c r="T6" s="13">
        <f t="shared" si="1"/>
        <v>0</v>
      </c>
      <c r="V6" s="6" t="str">
        <f t="shared" ref="V6:V58" si="11">A6</f>
        <v>9/30/20-10/14 (14days)</v>
      </c>
      <c r="W6" s="134">
        <f t="shared" ref="W6:W58" si="12">B6</f>
        <v>44125</v>
      </c>
      <c r="X6" s="6" t="str">
        <f t="shared" ref="X6:X58" si="13">C6</f>
        <v>Fire</v>
      </c>
      <c r="Y6" s="13"/>
      <c r="Z6" s="13"/>
      <c r="AA6" s="13">
        <f t="shared" si="2"/>
        <v>0</v>
      </c>
      <c r="AC6" s="6" t="str">
        <f t="shared" ref="AC6:AC58" si="14">H6</f>
        <v>9/30/20-10/14 (14days)</v>
      </c>
      <c r="AD6" s="134">
        <f t="shared" ref="AD6:AD58" si="15">I6</f>
        <v>44125</v>
      </c>
      <c r="AE6" s="6" t="str">
        <f t="shared" ref="AE6:AE58" si="16">J6</f>
        <v>Fire</v>
      </c>
      <c r="AF6" s="13"/>
      <c r="AG6" s="13"/>
      <c r="AH6" s="13">
        <f t="shared" si="3"/>
        <v>0</v>
      </c>
      <c r="AJ6" s="6" t="str">
        <f t="shared" ref="AJ6:AJ58" si="17">O6</f>
        <v>9/30/20-10/14 (14days)</v>
      </c>
      <c r="AK6" s="134">
        <f t="shared" ref="AK6:AK58" si="18">P6</f>
        <v>44125</v>
      </c>
      <c r="AL6" s="6" t="str">
        <f t="shared" ref="AL6:AL58" si="19">Q6</f>
        <v>Fire</v>
      </c>
      <c r="AM6" s="13"/>
      <c r="AN6" s="13"/>
      <c r="AO6" s="13">
        <f t="shared" si="4"/>
        <v>0</v>
      </c>
    </row>
    <row r="7" spans="1:41" x14ac:dyDescent="0.3">
      <c r="A7" s="6" t="s">
        <v>818</v>
      </c>
      <c r="B7" s="134">
        <v>44139</v>
      </c>
      <c r="C7" s="6" t="s">
        <v>20</v>
      </c>
      <c r="D7" s="13">
        <f>5248.79+368.76</f>
        <v>5617.55</v>
      </c>
      <c r="E7" s="13">
        <v>1455.35</v>
      </c>
      <c r="F7" s="13">
        <f t="shared" ref="F7:F58" si="20">SUM(D7:E7)</f>
        <v>7072.9</v>
      </c>
      <c r="H7" s="6" t="str">
        <f t="shared" si="5"/>
        <v>10/15/20 - 10/28/20</v>
      </c>
      <c r="I7" s="134">
        <f t="shared" si="6"/>
        <v>44139</v>
      </c>
      <c r="J7" s="6" t="str">
        <f t="shared" si="7"/>
        <v>BW</v>
      </c>
      <c r="K7" s="13"/>
      <c r="L7" s="13"/>
      <c r="M7" s="13">
        <f t="shared" ref="M7:M58" si="21">SUM(K7:L7)</f>
        <v>0</v>
      </c>
      <c r="O7" s="6" t="str">
        <f t="shared" si="8"/>
        <v>10/15/20 - 10/28/20</v>
      </c>
      <c r="P7" s="134">
        <f t="shared" si="9"/>
        <v>44139</v>
      </c>
      <c r="Q7" s="6" t="str">
        <f t="shared" si="10"/>
        <v>BW</v>
      </c>
      <c r="R7" s="13"/>
      <c r="S7" s="13"/>
      <c r="T7" s="13">
        <f t="shared" si="1"/>
        <v>0</v>
      </c>
      <c r="V7" s="6" t="str">
        <f t="shared" si="11"/>
        <v>10/15/20 - 10/28/20</v>
      </c>
      <c r="W7" s="134">
        <f t="shared" si="12"/>
        <v>44139</v>
      </c>
      <c r="X7" s="6" t="str">
        <f t="shared" si="13"/>
        <v>BW</v>
      </c>
      <c r="Y7" s="13"/>
      <c r="Z7" s="13"/>
      <c r="AA7" s="13">
        <f t="shared" si="2"/>
        <v>0</v>
      </c>
      <c r="AC7" s="6" t="str">
        <f t="shared" si="14"/>
        <v>10/15/20 - 10/28/20</v>
      </c>
      <c r="AD7" s="134">
        <f t="shared" si="15"/>
        <v>44139</v>
      </c>
      <c r="AE7" s="6" t="str">
        <f t="shared" si="16"/>
        <v>BW</v>
      </c>
      <c r="AF7" s="13"/>
      <c r="AG7" s="13"/>
      <c r="AH7" s="13">
        <f t="shared" si="3"/>
        <v>0</v>
      </c>
      <c r="AJ7" s="6" t="str">
        <f t="shared" si="17"/>
        <v>10/15/20 - 10/28/20</v>
      </c>
      <c r="AK7" s="134">
        <f t="shared" si="18"/>
        <v>44139</v>
      </c>
      <c r="AL7" s="6" t="str">
        <f t="shared" si="19"/>
        <v>BW</v>
      </c>
      <c r="AM7" s="13"/>
      <c r="AN7" s="13"/>
      <c r="AO7" s="13">
        <f t="shared" si="4"/>
        <v>0</v>
      </c>
    </row>
    <row r="8" spans="1:41" x14ac:dyDescent="0.3">
      <c r="A8" s="162" t="s">
        <v>814</v>
      </c>
      <c r="B8" s="134">
        <v>44140</v>
      </c>
      <c r="C8" s="6" t="s">
        <v>21</v>
      </c>
      <c r="D8" s="13">
        <f>3641.84</f>
        <v>3641.84</v>
      </c>
      <c r="E8" s="44">
        <v>1409.47</v>
      </c>
      <c r="F8" s="13">
        <f t="shared" si="20"/>
        <v>5051.3100000000004</v>
      </c>
      <c r="H8" s="6" t="str">
        <f t="shared" si="5"/>
        <v>10/15/20 - 10/29/20</v>
      </c>
      <c r="I8" s="134">
        <f t="shared" si="6"/>
        <v>44140</v>
      </c>
      <c r="J8" s="6" t="str">
        <f t="shared" si="7"/>
        <v>Fire</v>
      </c>
      <c r="K8" s="13"/>
      <c r="L8" s="44"/>
      <c r="M8" s="13">
        <f t="shared" si="21"/>
        <v>0</v>
      </c>
      <c r="O8" s="6" t="str">
        <f t="shared" si="8"/>
        <v>10/15/20 - 10/29/20</v>
      </c>
      <c r="P8" s="134">
        <f t="shared" si="9"/>
        <v>44140</v>
      </c>
      <c r="Q8" s="6" t="str">
        <f t="shared" si="10"/>
        <v>Fire</v>
      </c>
      <c r="R8" s="13"/>
      <c r="S8" s="44"/>
      <c r="T8" s="13">
        <f t="shared" si="1"/>
        <v>0</v>
      </c>
      <c r="V8" s="6" t="str">
        <f t="shared" si="11"/>
        <v>10/15/20 - 10/29/20</v>
      </c>
      <c r="W8" s="134">
        <f t="shared" si="12"/>
        <v>44140</v>
      </c>
      <c r="X8" s="6" t="str">
        <f t="shared" si="13"/>
        <v>Fire</v>
      </c>
      <c r="Y8" s="13"/>
      <c r="Z8" s="44"/>
      <c r="AA8" s="13">
        <f t="shared" si="2"/>
        <v>0</v>
      </c>
      <c r="AC8" s="6" t="str">
        <f t="shared" si="14"/>
        <v>10/15/20 - 10/29/20</v>
      </c>
      <c r="AD8" s="134">
        <f t="shared" si="15"/>
        <v>44140</v>
      </c>
      <c r="AE8" s="6" t="str">
        <f t="shared" si="16"/>
        <v>Fire</v>
      </c>
      <c r="AF8" s="13"/>
      <c r="AG8" s="44"/>
      <c r="AH8" s="13">
        <f t="shared" si="3"/>
        <v>0</v>
      </c>
      <c r="AJ8" s="6" t="str">
        <f t="shared" si="17"/>
        <v>10/15/20 - 10/29/20</v>
      </c>
      <c r="AK8" s="134">
        <f t="shared" si="18"/>
        <v>44140</v>
      </c>
      <c r="AL8" s="6" t="str">
        <f t="shared" si="19"/>
        <v>Fire</v>
      </c>
      <c r="AM8" s="13"/>
      <c r="AN8" s="44"/>
      <c r="AO8" s="13">
        <f t="shared" si="4"/>
        <v>0</v>
      </c>
    </row>
    <row r="9" spans="1:41" x14ac:dyDescent="0.3">
      <c r="A9" s="6" t="s">
        <v>819</v>
      </c>
      <c r="B9" s="134">
        <v>44153</v>
      </c>
      <c r="C9" s="6" t="s">
        <v>20</v>
      </c>
      <c r="D9" s="13">
        <f>2610.92</f>
        <v>2610.92</v>
      </c>
      <c r="E9" s="13">
        <v>703.02</v>
      </c>
      <c r="F9" s="13">
        <f t="shared" si="20"/>
        <v>3313.94</v>
      </c>
      <c r="H9" s="6" t="str">
        <f t="shared" si="5"/>
        <v>10/29/20 - 11/11/20</v>
      </c>
      <c r="I9" s="134">
        <f t="shared" si="6"/>
        <v>44153</v>
      </c>
      <c r="J9" s="6" t="str">
        <f t="shared" si="7"/>
        <v>BW</v>
      </c>
      <c r="K9" s="13"/>
      <c r="L9" s="13"/>
      <c r="M9" s="13">
        <f t="shared" si="21"/>
        <v>0</v>
      </c>
      <c r="O9" s="6" t="str">
        <f t="shared" si="8"/>
        <v>10/29/20 - 11/11/20</v>
      </c>
      <c r="P9" s="134">
        <f t="shared" si="9"/>
        <v>44153</v>
      </c>
      <c r="Q9" s="6" t="str">
        <f t="shared" si="10"/>
        <v>BW</v>
      </c>
      <c r="R9" s="13"/>
      <c r="S9" s="13"/>
      <c r="T9" s="13">
        <f t="shared" si="1"/>
        <v>0</v>
      </c>
      <c r="V9" s="6" t="str">
        <f t="shared" si="11"/>
        <v>10/29/20 - 11/11/20</v>
      </c>
      <c r="W9" s="134">
        <f t="shared" si="12"/>
        <v>44153</v>
      </c>
      <c r="X9" s="6" t="str">
        <f t="shared" si="13"/>
        <v>BW</v>
      </c>
      <c r="Y9" s="13"/>
      <c r="Z9" s="13"/>
      <c r="AA9" s="13">
        <f t="shared" si="2"/>
        <v>0</v>
      </c>
      <c r="AC9" s="6" t="str">
        <f t="shared" si="14"/>
        <v>10/29/20 - 11/11/20</v>
      </c>
      <c r="AD9" s="134">
        <f t="shared" si="15"/>
        <v>44153</v>
      </c>
      <c r="AE9" s="6" t="str">
        <f t="shared" si="16"/>
        <v>BW</v>
      </c>
      <c r="AF9" s="13"/>
      <c r="AG9" s="13"/>
      <c r="AH9" s="13">
        <f t="shared" si="3"/>
        <v>0</v>
      </c>
      <c r="AJ9" s="6" t="str">
        <f t="shared" si="17"/>
        <v>10/29/20 - 11/11/20</v>
      </c>
      <c r="AK9" s="134">
        <f t="shared" si="18"/>
        <v>44153</v>
      </c>
      <c r="AL9" s="6" t="str">
        <f t="shared" si="19"/>
        <v>BW</v>
      </c>
      <c r="AM9" s="13"/>
      <c r="AN9" s="13"/>
      <c r="AO9" s="13">
        <f t="shared" si="4"/>
        <v>0</v>
      </c>
    </row>
    <row r="10" spans="1:41" x14ac:dyDescent="0.3">
      <c r="A10" s="6" t="s">
        <v>815</v>
      </c>
      <c r="B10" s="134">
        <v>44155</v>
      </c>
      <c r="C10" s="6" t="s">
        <v>21</v>
      </c>
      <c r="D10" s="13">
        <v>984.75</v>
      </c>
      <c r="E10" s="13">
        <v>244.56</v>
      </c>
      <c r="F10" s="13">
        <f t="shared" si="20"/>
        <v>1229.31</v>
      </c>
      <c r="H10" s="6" t="str">
        <f t="shared" si="5"/>
        <v>10/30/20 - 11/13/20</v>
      </c>
      <c r="I10" s="134">
        <f t="shared" si="6"/>
        <v>44155</v>
      </c>
      <c r="J10" s="6" t="str">
        <f t="shared" si="7"/>
        <v>Fire</v>
      </c>
      <c r="K10" s="13"/>
      <c r="L10" s="13"/>
      <c r="M10" s="13">
        <f t="shared" si="21"/>
        <v>0</v>
      </c>
      <c r="O10" s="6" t="str">
        <f t="shared" si="8"/>
        <v>10/30/20 - 11/13/20</v>
      </c>
      <c r="P10" s="134">
        <f t="shared" si="9"/>
        <v>44155</v>
      </c>
      <c r="Q10" s="6" t="str">
        <f t="shared" si="10"/>
        <v>Fire</v>
      </c>
      <c r="R10" s="13"/>
      <c r="S10" s="13"/>
      <c r="T10" s="13">
        <f t="shared" si="1"/>
        <v>0</v>
      </c>
      <c r="V10" s="6" t="str">
        <f t="shared" si="11"/>
        <v>10/30/20 - 11/13/20</v>
      </c>
      <c r="W10" s="134">
        <f t="shared" si="12"/>
        <v>44155</v>
      </c>
      <c r="X10" s="6" t="str">
        <f t="shared" si="13"/>
        <v>Fire</v>
      </c>
      <c r="Y10" s="13"/>
      <c r="Z10" s="13"/>
      <c r="AA10" s="13">
        <f t="shared" si="2"/>
        <v>0</v>
      </c>
      <c r="AC10" s="6" t="str">
        <f t="shared" si="14"/>
        <v>10/30/20 - 11/13/20</v>
      </c>
      <c r="AD10" s="134">
        <f t="shared" si="15"/>
        <v>44155</v>
      </c>
      <c r="AE10" s="6" t="str">
        <f t="shared" si="16"/>
        <v>Fire</v>
      </c>
      <c r="AF10" s="13"/>
      <c r="AG10" s="13"/>
      <c r="AH10" s="13">
        <f t="shared" si="3"/>
        <v>0</v>
      </c>
      <c r="AJ10" s="6" t="str">
        <f t="shared" si="17"/>
        <v>10/30/20 - 11/13/20</v>
      </c>
      <c r="AK10" s="134">
        <f t="shared" si="18"/>
        <v>44155</v>
      </c>
      <c r="AL10" s="6" t="str">
        <f t="shared" si="19"/>
        <v>Fire</v>
      </c>
      <c r="AM10" s="13"/>
      <c r="AN10" s="13"/>
      <c r="AO10" s="13">
        <f t="shared" si="4"/>
        <v>0</v>
      </c>
    </row>
    <row r="11" spans="1:41" x14ac:dyDescent="0.3">
      <c r="A11" s="6" t="s">
        <v>820</v>
      </c>
      <c r="B11" s="134">
        <v>44167</v>
      </c>
      <c r="C11" s="6" t="s">
        <v>20</v>
      </c>
      <c r="D11" s="13">
        <f>3486.96+103.74</f>
        <v>3590.7</v>
      </c>
      <c r="E11" s="13">
        <v>935.55</v>
      </c>
      <c r="F11" s="13">
        <f t="shared" si="20"/>
        <v>4526.25</v>
      </c>
      <c r="H11" s="6" t="str">
        <f t="shared" si="5"/>
        <v>11/12/20 - 11/25/20</v>
      </c>
      <c r="I11" s="134">
        <f t="shared" si="6"/>
        <v>44167</v>
      </c>
      <c r="J11" s="6" t="str">
        <f t="shared" si="7"/>
        <v>BW</v>
      </c>
      <c r="K11" s="13"/>
      <c r="L11" s="13"/>
      <c r="M11" s="13">
        <f t="shared" si="21"/>
        <v>0</v>
      </c>
      <c r="O11" s="6" t="str">
        <f t="shared" si="8"/>
        <v>11/12/20 - 11/25/20</v>
      </c>
      <c r="P11" s="134">
        <f t="shared" si="9"/>
        <v>44167</v>
      </c>
      <c r="Q11" s="6" t="str">
        <f t="shared" si="10"/>
        <v>BW</v>
      </c>
      <c r="R11" s="13"/>
      <c r="S11" s="13"/>
      <c r="T11" s="13">
        <f t="shared" si="1"/>
        <v>0</v>
      </c>
      <c r="V11" s="6" t="str">
        <f t="shared" si="11"/>
        <v>11/12/20 - 11/25/20</v>
      </c>
      <c r="W11" s="134">
        <f t="shared" si="12"/>
        <v>44167</v>
      </c>
      <c r="X11" s="6" t="str">
        <f t="shared" si="13"/>
        <v>BW</v>
      </c>
      <c r="Y11" s="13"/>
      <c r="Z11" s="13"/>
      <c r="AA11" s="13">
        <f t="shared" si="2"/>
        <v>0</v>
      </c>
      <c r="AC11" s="6" t="str">
        <f t="shared" si="14"/>
        <v>11/12/20 - 11/25/20</v>
      </c>
      <c r="AD11" s="134">
        <f t="shared" si="15"/>
        <v>44167</v>
      </c>
      <c r="AE11" s="6" t="str">
        <f t="shared" si="16"/>
        <v>BW</v>
      </c>
      <c r="AF11" s="13"/>
      <c r="AG11" s="13"/>
      <c r="AH11" s="13">
        <f t="shared" si="3"/>
        <v>0</v>
      </c>
      <c r="AJ11" s="6" t="str">
        <f t="shared" si="17"/>
        <v>11/12/20 - 11/25/20</v>
      </c>
      <c r="AK11" s="134">
        <f t="shared" si="18"/>
        <v>44167</v>
      </c>
      <c r="AL11" s="6" t="str">
        <f t="shared" si="19"/>
        <v>BW</v>
      </c>
      <c r="AM11" s="13"/>
      <c r="AN11" s="13"/>
      <c r="AO11" s="13">
        <f t="shared" si="4"/>
        <v>0</v>
      </c>
    </row>
    <row r="12" spans="1:41" x14ac:dyDescent="0.3">
      <c r="A12" s="6" t="s">
        <v>816</v>
      </c>
      <c r="B12" s="134">
        <v>44169</v>
      </c>
      <c r="C12" s="6" t="s">
        <v>21</v>
      </c>
      <c r="D12" s="13">
        <v>1145.3699999999999</v>
      </c>
      <c r="E12" s="13">
        <v>273.98</v>
      </c>
      <c r="F12" s="13">
        <f t="shared" si="20"/>
        <v>1419.35</v>
      </c>
      <c r="H12" s="6" t="str">
        <f t="shared" si="5"/>
        <v>11/14/20 - 11/28/20</v>
      </c>
      <c r="I12" s="134">
        <f t="shared" si="6"/>
        <v>44169</v>
      </c>
      <c r="J12" s="6" t="str">
        <f t="shared" si="7"/>
        <v>Fire</v>
      </c>
      <c r="K12" s="13"/>
      <c r="L12" s="13"/>
      <c r="M12" s="13">
        <f t="shared" si="21"/>
        <v>0</v>
      </c>
      <c r="O12" s="6" t="str">
        <f t="shared" si="8"/>
        <v>11/14/20 - 11/28/20</v>
      </c>
      <c r="P12" s="134">
        <f t="shared" si="9"/>
        <v>44169</v>
      </c>
      <c r="Q12" s="6" t="str">
        <f t="shared" si="10"/>
        <v>Fire</v>
      </c>
      <c r="R12" s="13"/>
      <c r="S12" s="13"/>
      <c r="T12" s="13">
        <f t="shared" si="1"/>
        <v>0</v>
      </c>
      <c r="V12" s="6" t="str">
        <f t="shared" si="11"/>
        <v>11/14/20 - 11/28/20</v>
      </c>
      <c r="W12" s="134">
        <f t="shared" si="12"/>
        <v>44169</v>
      </c>
      <c r="X12" s="6" t="str">
        <f t="shared" si="13"/>
        <v>Fire</v>
      </c>
      <c r="Y12" s="13"/>
      <c r="Z12" s="13"/>
      <c r="AA12" s="13">
        <f t="shared" si="2"/>
        <v>0</v>
      </c>
      <c r="AC12" s="6" t="str">
        <f t="shared" si="14"/>
        <v>11/14/20 - 11/28/20</v>
      </c>
      <c r="AD12" s="134">
        <f t="shared" si="15"/>
        <v>44169</v>
      </c>
      <c r="AE12" s="6" t="str">
        <f t="shared" si="16"/>
        <v>Fire</v>
      </c>
      <c r="AF12" s="13"/>
      <c r="AG12" s="13"/>
      <c r="AH12" s="13">
        <f t="shared" si="3"/>
        <v>0</v>
      </c>
      <c r="AJ12" s="6" t="str">
        <f t="shared" si="17"/>
        <v>11/14/20 - 11/28/20</v>
      </c>
      <c r="AK12" s="134">
        <f t="shared" si="18"/>
        <v>44169</v>
      </c>
      <c r="AL12" s="6" t="str">
        <f t="shared" si="19"/>
        <v>Fire</v>
      </c>
      <c r="AM12" s="13"/>
      <c r="AN12" s="13"/>
      <c r="AO12" s="13">
        <f t="shared" si="4"/>
        <v>0</v>
      </c>
    </row>
    <row r="13" spans="1:41" x14ac:dyDescent="0.3">
      <c r="A13" s="6" t="s">
        <v>821</v>
      </c>
      <c r="B13" s="134">
        <v>44181</v>
      </c>
      <c r="C13" s="6" t="s">
        <v>20</v>
      </c>
      <c r="D13" s="13">
        <v>6213.72</v>
      </c>
      <c r="E13" s="13">
        <v>1448.26</v>
      </c>
      <c r="F13" s="13">
        <f t="shared" si="20"/>
        <v>7661.9800000000005</v>
      </c>
      <c r="H13" s="6" t="str">
        <f t="shared" si="5"/>
        <v>11/26/20 - 12/9/20</v>
      </c>
      <c r="I13" s="134">
        <f t="shared" si="6"/>
        <v>44181</v>
      </c>
      <c r="J13" s="6" t="str">
        <f t="shared" si="7"/>
        <v>BW</v>
      </c>
      <c r="K13" s="13"/>
      <c r="L13" s="13"/>
      <c r="M13" s="13">
        <f t="shared" si="21"/>
        <v>0</v>
      </c>
      <c r="O13" s="6" t="str">
        <f t="shared" si="8"/>
        <v>11/26/20 - 12/9/20</v>
      </c>
      <c r="P13" s="134">
        <f t="shared" si="9"/>
        <v>44181</v>
      </c>
      <c r="Q13" s="6" t="str">
        <f t="shared" si="10"/>
        <v>BW</v>
      </c>
      <c r="R13" s="13"/>
      <c r="S13" s="13"/>
      <c r="T13" s="13">
        <f t="shared" si="1"/>
        <v>0</v>
      </c>
      <c r="V13" s="6" t="str">
        <f t="shared" si="11"/>
        <v>11/26/20 - 12/9/20</v>
      </c>
      <c r="W13" s="134">
        <f t="shared" si="12"/>
        <v>44181</v>
      </c>
      <c r="X13" s="6" t="str">
        <f t="shared" si="13"/>
        <v>BW</v>
      </c>
      <c r="Y13" s="13"/>
      <c r="Z13" s="13"/>
      <c r="AA13" s="13">
        <f t="shared" si="2"/>
        <v>0</v>
      </c>
      <c r="AC13" s="6" t="str">
        <f t="shared" si="14"/>
        <v>11/26/20 - 12/9/20</v>
      </c>
      <c r="AD13" s="134">
        <f t="shared" si="15"/>
        <v>44181</v>
      </c>
      <c r="AE13" s="6" t="str">
        <f t="shared" si="16"/>
        <v>BW</v>
      </c>
      <c r="AF13" s="13"/>
      <c r="AG13" s="13"/>
      <c r="AH13" s="13">
        <f t="shared" si="3"/>
        <v>0</v>
      </c>
      <c r="AJ13" s="6" t="str">
        <f t="shared" si="17"/>
        <v>11/26/20 - 12/9/20</v>
      </c>
      <c r="AK13" s="134">
        <f t="shared" si="18"/>
        <v>44181</v>
      </c>
      <c r="AL13" s="6" t="str">
        <f t="shared" si="19"/>
        <v>BW</v>
      </c>
      <c r="AM13" s="13"/>
      <c r="AN13" s="13"/>
      <c r="AO13" s="13">
        <f t="shared" si="4"/>
        <v>0</v>
      </c>
    </row>
    <row r="14" spans="1:41" x14ac:dyDescent="0.3">
      <c r="A14" s="6" t="s">
        <v>817</v>
      </c>
      <c r="B14" s="134">
        <v>44183</v>
      </c>
      <c r="C14" s="6" t="s">
        <v>21</v>
      </c>
      <c r="D14" s="13">
        <v>1023.51</v>
      </c>
      <c r="E14" s="13">
        <v>293.27</v>
      </c>
      <c r="F14" s="13">
        <f t="shared" si="20"/>
        <v>1316.78</v>
      </c>
      <c r="H14" s="6" t="str">
        <f t="shared" si="5"/>
        <v>11/29/20 - 12/13/20</v>
      </c>
      <c r="I14" s="134">
        <f t="shared" si="6"/>
        <v>44183</v>
      </c>
      <c r="J14" s="6" t="str">
        <f t="shared" si="7"/>
        <v>Fire</v>
      </c>
      <c r="K14" s="13"/>
      <c r="L14" s="13"/>
      <c r="M14" s="13">
        <f t="shared" si="21"/>
        <v>0</v>
      </c>
      <c r="O14" s="6" t="str">
        <f t="shared" si="8"/>
        <v>11/29/20 - 12/13/20</v>
      </c>
      <c r="P14" s="134">
        <f t="shared" si="9"/>
        <v>44183</v>
      </c>
      <c r="Q14" s="6" t="str">
        <f t="shared" si="10"/>
        <v>Fire</v>
      </c>
      <c r="R14" s="13"/>
      <c r="S14" s="13"/>
      <c r="T14" s="13">
        <f t="shared" si="1"/>
        <v>0</v>
      </c>
      <c r="V14" s="6" t="str">
        <f t="shared" si="11"/>
        <v>11/29/20 - 12/13/20</v>
      </c>
      <c r="W14" s="134">
        <f t="shared" si="12"/>
        <v>44183</v>
      </c>
      <c r="X14" s="6" t="str">
        <f t="shared" si="13"/>
        <v>Fire</v>
      </c>
      <c r="Y14" s="13"/>
      <c r="Z14" s="13"/>
      <c r="AA14" s="13">
        <f t="shared" si="2"/>
        <v>0</v>
      </c>
      <c r="AC14" s="6" t="str">
        <f t="shared" si="14"/>
        <v>11/29/20 - 12/13/20</v>
      </c>
      <c r="AD14" s="134">
        <f t="shared" si="15"/>
        <v>44183</v>
      </c>
      <c r="AE14" s="6" t="str">
        <f t="shared" si="16"/>
        <v>Fire</v>
      </c>
      <c r="AF14" s="13"/>
      <c r="AG14" s="13"/>
      <c r="AH14" s="13">
        <f t="shared" si="3"/>
        <v>0</v>
      </c>
      <c r="AJ14" s="6" t="str">
        <f t="shared" si="17"/>
        <v>11/29/20 - 12/13/20</v>
      </c>
      <c r="AK14" s="134">
        <f t="shared" si="18"/>
        <v>44183</v>
      </c>
      <c r="AL14" s="6" t="str">
        <f t="shared" si="19"/>
        <v>Fire</v>
      </c>
      <c r="AM14" s="13"/>
      <c r="AN14" s="13"/>
      <c r="AO14" s="13">
        <f t="shared" si="4"/>
        <v>0</v>
      </c>
    </row>
    <row r="15" spans="1:41" x14ac:dyDescent="0.3">
      <c r="A15" s="6" t="s">
        <v>822</v>
      </c>
      <c r="B15" s="134">
        <v>44195</v>
      </c>
      <c r="C15" s="6" t="s">
        <v>20</v>
      </c>
      <c r="D15" s="13">
        <f>41434.22-SUM(D5:D14)</f>
        <v>7297.6899999999951</v>
      </c>
      <c r="E15" s="13">
        <f>10558.77-SUM(E5:E14)</f>
        <v>1068.3400000000001</v>
      </c>
      <c r="F15" s="13">
        <f t="shared" si="20"/>
        <v>8366.0299999999952</v>
      </c>
      <c r="H15" s="6" t="str">
        <f t="shared" si="5"/>
        <v>12/10/20 - 12/23/20</v>
      </c>
      <c r="I15" s="134">
        <f t="shared" si="6"/>
        <v>44195</v>
      </c>
      <c r="J15" s="6" t="str">
        <f t="shared" si="7"/>
        <v>BW</v>
      </c>
      <c r="K15" s="13"/>
      <c r="L15" s="13"/>
      <c r="M15" s="13">
        <f t="shared" si="21"/>
        <v>0</v>
      </c>
      <c r="O15" s="6" t="str">
        <f t="shared" si="8"/>
        <v>12/10/20 - 12/23/20</v>
      </c>
      <c r="P15" s="134">
        <f t="shared" si="9"/>
        <v>44195</v>
      </c>
      <c r="Q15" s="6" t="str">
        <f t="shared" si="10"/>
        <v>BW</v>
      </c>
      <c r="R15" s="13"/>
      <c r="S15" s="13"/>
      <c r="T15" s="13">
        <f t="shared" si="1"/>
        <v>0</v>
      </c>
      <c r="V15" s="6" t="str">
        <f t="shared" si="11"/>
        <v>12/10/20 - 12/23/20</v>
      </c>
      <c r="W15" s="134">
        <f t="shared" si="12"/>
        <v>44195</v>
      </c>
      <c r="X15" s="6" t="str">
        <f t="shared" si="13"/>
        <v>BW</v>
      </c>
      <c r="Y15" s="13"/>
      <c r="Z15" s="13"/>
      <c r="AA15" s="13">
        <f t="shared" si="2"/>
        <v>0</v>
      </c>
      <c r="AC15" s="6" t="str">
        <f t="shared" si="14"/>
        <v>12/10/20 - 12/23/20</v>
      </c>
      <c r="AD15" s="134">
        <f t="shared" si="15"/>
        <v>44195</v>
      </c>
      <c r="AE15" s="6" t="str">
        <f t="shared" si="16"/>
        <v>BW</v>
      </c>
      <c r="AF15" s="13"/>
      <c r="AG15" s="13"/>
      <c r="AH15" s="13">
        <f t="shared" si="3"/>
        <v>0</v>
      </c>
      <c r="AJ15" s="6" t="str">
        <f t="shared" si="17"/>
        <v>12/10/20 - 12/23/20</v>
      </c>
      <c r="AK15" s="134">
        <f t="shared" si="18"/>
        <v>44195</v>
      </c>
      <c r="AL15" s="6" t="str">
        <f t="shared" si="19"/>
        <v>BW</v>
      </c>
      <c r="AM15" s="13"/>
      <c r="AN15" s="13"/>
      <c r="AO15" s="13">
        <f t="shared" si="4"/>
        <v>0</v>
      </c>
    </row>
    <row r="16" spans="1:41" x14ac:dyDescent="0.3">
      <c r="A16" s="163" t="s">
        <v>823</v>
      </c>
      <c r="B16" s="134">
        <v>44200</v>
      </c>
      <c r="C16" s="6" t="s">
        <v>21</v>
      </c>
      <c r="D16" s="13">
        <v>0</v>
      </c>
      <c r="E16" s="13">
        <v>0</v>
      </c>
      <c r="F16" s="13">
        <f t="shared" si="20"/>
        <v>0</v>
      </c>
      <c r="H16" s="6" t="str">
        <f t="shared" si="5"/>
        <v>12/14/20 - 12/28/20</v>
      </c>
      <c r="I16" s="134">
        <f t="shared" si="6"/>
        <v>44200</v>
      </c>
      <c r="J16" s="6" t="str">
        <f t="shared" si="7"/>
        <v>Fire</v>
      </c>
      <c r="K16" s="13"/>
      <c r="L16" s="13"/>
      <c r="M16" s="13">
        <f t="shared" si="21"/>
        <v>0</v>
      </c>
      <c r="O16" s="6" t="str">
        <f t="shared" si="8"/>
        <v>12/14/20 - 12/28/20</v>
      </c>
      <c r="P16" s="134">
        <f t="shared" si="9"/>
        <v>44200</v>
      </c>
      <c r="Q16" s="6" t="str">
        <f t="shared" si="10"/>
        <v>Fire</v>
      </c>
      <c r="R16" s="13"/>
      <c r="S16" s="13"/>
      <c r="T16" s="13">
        <f t="shared" si="1"/>
        <v>0</v>
      </c>
      <c r="V16" s="6" t="str">
        <f t="shared" si="11"/>
        <v>12/14/20 - 12/28/20</v>
      </c>
      <c r="W16" s="134">
        <f t="shared" si="12"/>
        <v>44200</v>
      </c>
      <c r="X16" s="6" t="str">
        <f t="shared" si="13"/>
        <v>Fire</v>
      </c>
      <c r="Y16" s="13"/>
      <c r="Z16" s="13"/>
      <c r="AA16" s="13">
        <f t="shared" si="2"/>
        <v>0</v>
      </c>
      <c r="AC16" s="6" t="str">
        <f t="shared" si="14"/>
        <v>12/14/20 - 12/28/20</v>
      </c>
      <c r="AD16" s="134">
        <f t="shared" si="15"/>
        <v>44200</v>
      </c>
      <c r="AE16" s="6" t="str">
        <f t="shared" si="16"/>
        <v>Fire</v>
      </c>
      <c r="AF16" s="13"/>
      <c r="AG16" s="13"/>
      <c r="AH16" s="13">
        <f t="shared" si="3"/>
        <v>0</v>
      </c>
      <c r="AJ16" s="6" t="str">
        <f t="shared" si="17"/>
        <v>12/14/20 - 12/28/20</v>
      </c>
      <c r="AK16" s="134">
        <f t="shared" si="18"/>
        <v>44200</v>
      </c>
      <c r="AL16" s="6" t="str">
        <f t="shared" si="19"/>
        <v>Fire</v>
      </c>
      <c r="AM16" s="13"/>
      <c r="AN16" s="13"/>
      <c r="AO16" s="13">
        <f t="shared" si="4"/>
        <v>0</v>
      </c>
    </row>
    <row r="17" spans="1:41" x14ac:dyDescent="0.3">
      <c r="A17" s="6" t="s">
        <v>827</v>
      </c>
      <c r="B17" s="134">
        <v>44209</v>
      </c>
      <c r="C17" s="6" t="s">
        <v>20</v>
      </c>
      <c r="D17" s="13">
        <v>6041.05</v>
      </c>
      <c r="E17" s="13">
        <v>1436.5</v>
      </c>
      <c r="F17" s="13">
        <f t="shared" si="20"/>
        <v>7477.55</v>
      </c>
      <c r="H17" s="6" t="str">
        <f t="shared" si="5"/>
        <v>12/24/20 - 1/6/21</v>
      </c>
      <c r="I17" s="134">
        <f t="shared" si="6"/>
        <v>44209</v>
      </c>
      <c r="J17" s="6" t="str">
        <f t="shared" si="7"/>
        <v>BW</v>
      </c>
      <c r="K17" s="13"/>
      <c r="L17" s="13"/>
      <c r="M17" s="13">
        <f t="shared" si="21"/>
        <v>0</v>
      </c>
      <c r="N17" s="144"/>
      <c r="O17" s="6" t="str">
        <f t="shared" si="8"/>
        <v>12/24/20 - 1/6/21</v>
      </c>
      <c r="P17" s="134">
        <f t="shared" si="9"/>
        <v>44209</v>
      </c>
      <c r="Q17" s="6" t="str">
        <f t="shared" si="10"/>
        <v>BW</v>
      </c>
      <c r="R17" s="13"/>
      <c r="S17" s="13"/>
      <c r="T17" s="13">
        <f t="shared" si="1"/>
        <v>0</v>
      </c>
      <c r="U17" s="144"/>
      <c r="V17" s="6" t="str">
        <f t="shared" si="11"/>
        <v>12/24/20 - 1/6/21</v>
      </c>
      <c r="W17" s="134">
        <f t="shared" si="12"/>
        <v>44209</v>
      </c>
      <c r="X17" s="6" t="str">
        <f t="shared" si="13"/>
        <v>BW</v>
      </c>
      <c r="Y17" s="13"/>
      <c r="Z17" s="13"/>
      <c r="AA17" s="13">
        <f t="shared" si="2"/>
        <v>0</v>
      </c>
      <c r="AB17" s="144"/>
      <c r="AC17" s="6" t="str">
        <f t="shared" si="14"/>
        <v>12/24/20 - 1/6/21</v>
      </c>
      <c r="AD17" s="134">
        <f t="shared" si="15"/>
        <v>44209</v>
      </c>
      <c r="AE17" s="6" t="str">
        <f t="shared" si="16"/>
        <v>BW</v>
      </c>
      <c r="AF17" s="13"/>
      <c r="AG17" s="13"/>
      <c r="AH17" s="13">
        <f t="shared" si="3"/>
        <v>0</v>
      </c>
      <c r="AI17" s="144"/>
      <c r="AJ17" s="6" t="str">
        <f t="shared" si="17"/>
        <v>12/24/20 - 1/6/21</v>
      </c>
      <c r="AK17" s="134">
        <f t="shared" si="18"/>
        <v>44209</v>
      </c>
      <c r="AL17" s="6" t="str">
        <f t="shared" si="19"/>
        <v>BW</v>
      </c>
      <c r="AM17" s="13"/>
      <c r="AN17" s="13"/>
      <c r="AO17" s="13">
        <f t="shared" si="4"/>
        <v>0</v>
      </c>
    </row>
    <row r="18" spans="1:41" x14ac:dyDescent="0.3">
      <c r="A18" s="163" t="s">
        <v>824</v>
      </c>
      <c r="B18" s="134">
        <v>44215</v>
      </c>
      <c r="C18" s="6" t="s">
        <v>21</v>
      </c>
      <c r="D18" s="13">
        <v>0</v>
      </c>
      <c r="E18" s="13">
        <v>0</v>
      </c>
      <c r="F18" s="13">
        <f t="shared" si="20"/>
        <v>0</v>
      </c>
      <c r="H18" s="6" t="str">
        <f t="shared" si="5"/>
        <v>12/29/20 - 1/12/21</v>
      </c>
      <c r="I18" s="134">
        <f t="shared" si="6"/>
        <v>44215</v>
      </c>
      <c r="J18" s="6" t="str">
        <f t="shared" si="7"/>
        <v>Fire</v>
      </c>
      <c r="K18" s="13"/>
      <c r="L18" s="13"/>
      <c r="M18" s="13">
        <f t="shared" si="21"/>
        <v>0</v>
      </c>
      <c r="N18" s="144"/>
      <c r="O18" s="6" t="str">
        <f t="shared" si="8"/>
        <v>12/29/20 - 1/12/21</v>
      </c>
      <c r="P18" s="134">
        <f t="shared" si="9"/>
        <v>44215</v>
      </c>
      <c r="Q18" s="6" t="str">
        <f t="shared" si="10"/>
        <v>Fire</v>
      </c>
      <c r="R18" s="13"/>
      <c r="S18" s="13"/>
      <c r="T18" s="13">
        <f t="shared" si="1"/>
        <v>0</v>
      </c>
      <c r="U18" s="144"/>
      <c r="V18" s="6" t="str">
        <f t="shared" si="11"/>
        <v>12/29/20 - 1/12/21</v>
      </c>
      <c r="W18" s="134">
        <f t="shared" si="12"/>
        <v>44215</v>
      </c>
      <c r="X18" s="6" t="str">
        <f t="shared" si="13"/>
        <v>Fire</v>
      </c>
      <c r="Y18" s="13"/>
      <c r="Z18" s="13"/>
      <c r="AA18" s="13">
        <f t="shared" si="2"/>
        <v>0</v>
      </c>
      <c r="AB18" s="144"/>
      <c r="AC18" s="6" t="str">
        <f t="shared" si="14"/>
        <v>12/29/20 - 1/12/21</v>
      </c>
      <c r="AD18" s="134">
        <f t="shared" si="15"/>
        <v>44215</v>
      </c>
      <c r="AE18" s="6" t="str">
        <f t="shared" si="16"/>
        <v>Fire</v>
      </c>
      <c r="AF18" s="13"/>
      <c r="AG18" s="13"/>
      <c r="AH18" s="13">
        <f t="shared" si="3"/>
        <v>0</v>
      </c>
      <c r="AI18" s="144"/>
      <c r="AJ18" s="6" t="str">
        <f t="shared" si="17"/>
        <v>12/29/20 - 1/12/21</v>
      </c>
      <c r="AK18" s="134">
        <f t="shared" si="18"/>
        <v>44215</v>
      </c>
      <c r="AL18" s="6" t="str">
        <f t="shared" si="19"/>
        <v>Fire</v>
      </c>
      <c r="AM18" s="13"/>
      <c r="AN18" s="13"/>
      <c r="AO18" s="13">
        <f t="shared" si="4"/>
        <v>0</v>
      </c>
    </row>
    <row r="19" spans="1:41" x14ac:dyDescent="0.3">
      <c r="A19" s="6" t="s">
        <v>828</v>
      </c>
      <c r="B19" s="134">
        <v>44223</v>
      </c>
      <c r="C19" s="6" t="s">
        <v>20</v>
      </c>
      <c r="D19" s="13">
        <f>6679.35+123.69</f>
        <v>6803.04</v>
      </c>
      <c r="E19" s="13">
        <f>95.21+886.43+6.97+720.18+20.25+9.54+9.78</f>
        <v>1748.36</v>
      </c>
      <c r="F19" s="13">
        <f t="shared" si="20"/>
        <v>8551.4</v>
      </c>
      <c r="H19" s="6" t="str">
        <f t="shared" si="5"/>
        <v>1/7/21 - 1/20/21</v>
      </c>
      <c r="I19" s="134">
        <f t="shared" si="6"/>
        <v>44223</v>
      </c>
      <c r="J19" s="6" t="str">
        <f t="shared" si="7"/>
        <v>BW</v>
      </c>
      <c r="K19" s="13"/>
      <c r="L19" s="13"/>
      <c r="M19" s="13">
        <f t="shared" si="21"/>
        <v>0</v>
      </c>
      <c r="N19" s="144"/>
      <c r="O19" s="6" t="str">
        <f t="shared" si="8"/>
        <v>1/7/21 - 1/20/21</v>
      </c>
      <c r="P19" s="134">
        <f t="shared" si="9"/>
        <v>44223</v>
      </c>
      <c r="Q19" s="6" t="str">
        <f t="shared" si="10"/>
        <v>BW</v>
      </c>
      <c r="R19" s="13"/>
      <c r="S19" s="13"/>
      <c r="T19" s="13">
        <f t="shared" si="1"/>
        <v>0</v>
      </c>
      <c r="V19" s="6" t="str">
        <f t="shared" si="11"/>
        <v>1/7/21 - 1/20/21</v>
      </c>
      <c r="W19" s="134">
        <f t="shared" si="12"/>
        <v>44223</v>
      </c>
      <c r="X19" s="6" t="str">
        <f t="shared" si="13"/>
        <v>BW</v>
      </c>
      <c r="Y19" s="13">
        <f>1116.4+63.26</f>
        <v>1179.6600000000001</v>
      </c>
      <c r="Z19" s="13">
        <f>16.93+153.7+1.21+100.43+3.61+4.19+1.85</f>
        <v>281.92</v>
      </c>
      <c r="AA19" s="13">
        <f t="shared" si="2"/>
        <v>1461.5800000000002</v>
      </c>
      <c r="AC19" s="6" t="str">
        <f t="shared" si="14"/>
        <v>1/7/21 - 1/20/21</v>
      </c>
      <c r="AD19" s="134">
        <f t="shared" si="15"/>
        <v>44223</v>
      </c>
      <c r="AE19" s="6" t="str">
        <f t="shared" si="16"/>
        <v>BW</v>
      </c>
      <c r="AF19" s="13"/>
      <c r="AG19" s="13"/>
      <c r="AH19" s="13">
        <f t="shared" si="3"/>
        <v>0</v>
      </c>
      <c r="AJ19" s="6" t="str">
        <f t="shared" si="17"/>
        <v>1/7/21 - 1/20/21</v>
      </c>
      <c r="AK19" s="134">
        <f t="shared" si="18"/>
        <v>44223</v>
      </c>
      <c r="AL19" s="6" t="str">
        <f t="shared" si="19"/>
        <v>BW</v>
      </c>
      <c r="AM19" s="13"/>
      <c r="AN19" s="13"/>
      <c r="AO19" s="13">
        <f t="shared" si="4"/>
        <v>0</v>
      </c>
    </row>
    <row r="20" spans="1:41" x14ac:dyDescent="0.3">
      <c r="A20" s="6" t="s">
        <v>825</v>
      </c>
      <c r="B20" s="134">
        <v>44230</v>
      </c>
      <c r="C20" s="6" t="s">
        <v>21</v>
      </c>
      <c r="D20" s="13">
        <v>0</v>
      </c>
      <c r="E20" s="13">
        <v>0</v>
      </c>
      <c r="F20" s="13">
        <f t="shared" si="20"/>
        <v>0</v>
      </c>
      <c r="H20" s="6" t="str">
        <f t="shared" si="5"/>
        <v>1/13/21 - 1/27/21</v>
      </c>
      <c r="I20" s="134">
        <f t="shared" si="6"/>
        <v>44230</v>
      </c>
      <c r="J20" s="6" t="str">
        <f t="shared" si="7"/>
        <v>Fire</v>
      </c>
      <c r="K20" s="13"/>
      <c r="L20" s="13"/>
      <c r="M20" s="13">
        <f t="shared" si="21"/>
        <v>0</v>
      </c>
      <c r="O20" s="6" t="str">
        <f t="shared" si="8"/>
        <v>1/13/21 - 1/27/21</v>
      </c>
      <c r="P20" s="134">
        <f t="shared" si="9"/>
        <v>44230</v>
      </c>
      <c r="Q20" s="6" t="str">
        <f t="shared" si="10"/>
        <v>Fire</v>
      </c>
      <c r="R20" s="13"/>
      <c r="S20" s="13"/>
      <c r="T20" s="13">
        <f t="shared" si="1"/>
        <v>0</v>
      </c>
      <c r="V20" s="6" t="str">
        <f t="shared" si="11"/>
        <v>1/13/21 - 1/27/21</v>
      </c>
      <c r="W20" s="134">
        <f t="shared" si="12"/>
        <v>44230</v>
      </c>
      <c r="X20" s="6" t="str">
        <f t="shared" si="13"/>
        <v>Fire</v>
      </c>
      <c r="Y20" s="13">
        <f>1907.51</f>
        <v>1907.51</v>
      </c>
      <c r="Z20" s="13">
        <f>25.04+248.55+2.37+432.16+6.19+32.24+3.68</f>
        <v>750.23000000000013</v>
      </c>
      <c r="AA20" s="13">
        <f t="shared" si="2"/>
        <v>2657.7400000000002</v>
      </c>
      <c r="AC20" s="6" t="str">
        <f t="shared" si="14"/>
        <v>1/13/21 - 1/27/21</v>
      </c>
      <c r="AD20" s="134">
        <f t="shared" si="15"/>
        <v>44230</v>
      </c>
      <c r="AE20" s="6" t="str">
        <f t="shared" si="16"/>
        <v>Fire</v>
      </c>
      <c r="AF20" s="13"/>
      <c r="AG20" s="13"/>
      <c r="AH20" s="13">
        <f t="shared" si="3"/>
        <v>0</v>
      </c>
      <c r="AJ20" s="6" t="str">
        <f t="shared" si="17"/>
        <v>1/13/21 - 1/27/21</v>
      </c>
      <c r="AK20" s="134">
        <f t="shared" si="18"/>
        <v>44230</v>
      </c>
      <c r="AL20" s="6" t="str">
        <f t="shared" si="19"/>
        <v>Fire</v>
      </c>
      <c r="AM20" s="13"/>
      <c r="AN20" s="13"/>
      <c r="AO20" s="13">
        <f t="shared" si="4"/>
        <v>0</v>
      </c>
    </row>
    <row r="21" spans="1:41" x14ac:dyDescent="0.3">
      <c r="A21" s="6" t="s">
        <v>829</v>
      </c>
      <c r="B21" s="134">
        <v>44237</v>
      </c>
      <c r="C21" s="6" t="s">
        <v>20</v>
      </c>
      <c r="D21" s="13">
        <v>8010.56</v>
      </c>
      <c r="E21" s="13">
        <v>2130.11</v>
      </c>
      <c r="F21" s="13">
        <f t="shared" si="20"/>
        <v>10140.67</v>
      </c>
      <c r="H21" s="6" t="str">
        <f t="shared" si="5"/>
        <v>1/21/21 - 2/3/21</v>
      </c>
      <c r="I21" s="134">
        <f t="shared" si="6"/>
        <v>44237</v>
      </c>
      <c r="J21" s="6" t="str">
        <f t="shared" si="7"/>
        <v>BW</v>
      </c>
      <c r="K21" s="13"/>
      <c r="L21" s="13"/>
      <c r="M21" s="13">
        <f t="shared" si="21"/>
        <v>0</v>
      </c>
      <c r="O21" s="6" t="str">
        <f t="shared" si="8"/>
        <v>1/21/21 - 2/3/21</v>
      </c>
      <c r="P21" s="134">
        <f t="shared" si="9"/>
        <v>44237</v>
      </c>
      <c r="Q21" s="6" t="str">
        <f t="shared" si="10"/>
        <v>BW</v>
      </c>
      <c r="R21" s="13"/>
      <c r="S21" s="13"/>
      <c r="T21" s="13">
        <f t="shared" si="1"/>
        <v>0</v>
      </c>
      <c r="V21" s="6" t="str">
        <f t="shared" si="11"/>
        <v>1/21/21 - 2/3/21</v>
      </c>
      <c r="W21" s="134">
        <f t="shared" si="12"/>
        <v>44237</v>
      </c>
      <c r="X21" s="6" t="str">
        <f t="shared" si="13"/>
        <v>BW</v>
      </c>
      <c r="Y21" s="13">
        <v>9670.35</v>
      </c>
      <c r="Z21" s="13">
        <v>2671.92</v>
      </c>
      <c r="AA21" s="13">
        <f t="shared" si="2"/>
        <v>12342.27</v>
      </c>
      <c r="AC21" s="6" t="str">
        <f t="shared" si="14"/>
        <v>1/21/21 - 2/3/21</v>
      </c>
      <c r="AD21" s="134">
        <f t="shared" si="15"/>
        <v>44237</v>
      </c>
      <c r="AE21" s="6" t="str">
        <f t="shared" si="16"/>
        <v>BW</v>
      </c>
      <c r="AF21" s="13"/>
      <c r="AG21" s="13"/>
      <c r="AH21" s="13">
        <f t="shared" si="3"/>
        <v>0</v>
      </c>
      <c r="AJ21" s="6" t="str">
        <f t="shared" si="17"/>
        <v>1/21/21 - 2/3/21</v>
      </c>
      <c r="AK21" s="134">
        <f t="shared" si="18"/>
        <v>44237</v>
      </c>
      <c r="AL21" s="6" t="str">
        <f t="shared" si="19"/>
        <v>BW</v>
      </c>
      <c r="AM21" s="13"/>
      <c r="AN21" s="13"/>
      <c r="AO21" s="13">
        <f t="shared" si="4"/>
        <v>0</v>
      </c>
    </row>
    <row r="22" spans="1:41" x14ac:dyDescent="0.3">
      <c r="A22" s="6" t="s">
        <v>826</v>
      </c>
      <c r="B22" s="134">
        <v>44245</v>
      </c>
      <c r="C22" s="6" t="s">
        <v>21</v>
      </c>
      <c r="D22" s="13">
        <f>825.12-11.59</f>
        <v>813.53</v>
      </c>
      <c r="E22" s="13">
        <f>220.31+11.59</f>
        <v>231.9</v>
      </c>
      <c r="F22" s="13">
        <f t="shared" si="20"/>
        <v>1045.43</v>
      </c>
      <c r="H22" s="6" t="str">
        <f t="shared" si="5"/>
        <v>1/28/21 - 2/11/21</v>
      </c>
      <c r="I22" s="134">
        <f t="shared" si="6"/>
        <v>44245</v>
      </c>
      <c r="J22" s="6" t="str">
        <f t="shared" si="7"/>
        <v>Fire</v>
      </c>
      <c r="K22" s="13"/>
      <c r="L22" s="13"/>
      <c r="M22" s="13">
        <f t="shared" si="21"/>
        <v>0</v>
      </c>
      <c r="O22" s="6" t="str">
        <f t="shared" si="8"/>
        <v>1/28/21 - 2/11/21</v>
      </c>
      <c r="P22" s="134">
        <f t="shared" si="9"/>
        <v>44245</v>
      </c>
      <c r="Q22" s="6" t="str">
        <f t="shared" si="10"/>
        <v>Fire</v>
      </c>
      <c r="R22" s="13"/>
      <c r="S22" s="13"/>
      <c r="T22" s="13">
        <f t="shared" si="1"/>
        <v>0</v>
      </c>
      <c r="V22" s="6" t="str">
        <f t="shared" si="11"/>
        <v>1/28/21 - 2/11/21</v>
      </c>
      <c r="W22" s="134">
        <f t="shared" si="12"/>
        <v>44245</v>
      </c>
      <c r="X22" s="6" t="str">
        <f t="shared" si="13"/>
        <v>Fire</v>
      </c>
      <c r="Y22" s="13">
        <v>5241.57</v>
      </c>
      <c r="Z22" s="13">
        <v>1683.35</v>
      </c>
      <c r="AA22" s="13">
        <f t="shared" si="2"/>
        <v>6924.92</v>
      </c>
      <c r="AC22" s="6" t="str">
        <f t="shared" si="14"/>
        <v>1/28/21 - 2/11/21</v>
      </c>
      <c r="AD22" s="134">
        <f t="shared" si="15"/>
        <v>44245</v>
      </c>
      <c r="AE22" s="6" t="str">
        <f t="shared" si="16"/>
        <v>Fire</v>
      </c>
      <c r="AF22" s="13"/>
      <c r="AG22" s="13"/>
      <c r="AH22" s="13">
        <f t="shared" si="3"/>
        <v>0</v>
      </c>
      <c r="AJ22" s="6" t="str">
        <f t="shared" si="17"/>
        <v>1/28/21 - 2/11/21</v>
      </c>
      <c r="AK22" s="134">
        <f t="shared" si="18"/>
        <v>44245</v>
      </c>
      <c r="AL22" s="6" t="str">
        <f t="shared" si="19"/>
        <v>Fire</v>
      </c>
      <c r="AM22" s="13"/>
      <c r="AN22" s="13"/>
      <c r="AO22" s="13">
        <f t="shared" si="4"/>
        <v>0</v>
      </c>
    </row>
    <row r="23" spans="1:41" x14ac:dyDescent="0.3">
      <c r="A23" s="6" t="s">
        <v>830</v>
      </c>
      <c r="B23" s="134">
        <v>44251</v>
      </c>
      <c r="C23" s="6" t="s">
        <v>20</v>
      </c>
      <c r="D23" s="13">
        <v>4869.71</v>
      </c>
      <c r="E23" s="13">
        <v>1197.3699999999999</v>
      </c>
      <c r="F23" s="13">
        <f t="shared" si="20"/>
        <v>6067.08</v>
      </c>
      <c r="H23" s="6" t="str">
        <f t="shared" si="5"/>
        <v>2/4/21 - 2/17/21</v>
      </c>
      <c r="I23" s="134">
        <f t="shared" si="6"/>
        <v>44251</v>
      </c>
      <c r="J23" s="6" t="str">
        <f t="shared" si="7"/>
        <v>BW</v>
      </c>
      <c r="K23" s="13"/>
      <c r="L23" s="13"/>
      <c r="M23" s="13">
        <f t="shared" si="21"/>
        <v>0</v>
      </c>
      <c r="O23" s="6" t="str">
        <f t="shared" si="8"/>
        <v>2/4/21 - 2/17/21</v>
      </c>
      <c r="P23" s="134">
        <f t="shared" si="9"/>
        <v>44251</v>
      </c>
      <c r="Q23" s="6" t="str">
        <f t="shared" si="10"/>
        <v>BW</v>
      </c>
      <c r="R23" s="13"/>
      <c r="S23" s="13"/>
      <c r="T23" s="13">
        <f t="shared" si="1"/>
        <v>0</v>
      </c>
      <c r="V23" s="6" t="str">
        <f t="shared" si="11"/>
        <v>2/4/21 - 2/17/21</v>
      </c>
      <c r="W23" s="134">
        <f t="shared" si="12"/>
        <v>44251</v>
      </c>
      <c r="X23" s="6" t="str">
        <f t="shared" si="13"/>
        <v>BW</v>
      </c>
      <c r="Y23" s="13">
        <v>3551.68</v>
      </c>
      <c r="Z23" s="13">
        <v>1046.73</v>
      </c>
      <c r="AA23" s="13">
        <f t="shared" si="2"/>
        <v>4598.41</v>
      </c>
      <c r="AC23" s="6" t="str">
        <f t="shared" si="14"/>
        <v>2/4/21 - 2/17/21</v>
      </c>
      <c r="AD23" s="134">
        <f t="shared" si="15"/>
        <v>44251</v>
      </c>
      <c r="AE23" s="6" t="str">
        <f t="shared" si="16"/>
        <v>BW</v>
      </c>
      <c r="AF23" s="13"/>
      <c r="AG23" s="13"/>
      <c r="AH23" s="13">
        <f t="shared" si="3"/>
        <v>0</v>
      </c>
      <c r="AJ23" s="6" t="str">
        <f t="shared" si="17"/>
        <v>2/4/21 - 2/17/21</v>
      </c>
      <c r="AK23" s="134">
        <f t="shared" si="18"/>
        <v>44251</v>
      </c>
      <c r="AL23" s="6" t="str">
        <f t="shared" si="19"/>
        <v>BW</v>
      </c>
      <c r="AM23" s="13"/>
      <c r="AN23" s="13"/>
      <c r="AO23" s="13">
        <f t="shared" si="4"/>
        <v>0</v>
      </c>
    </row>
    <row r="24" spans="1:41" x14ac:dyDescent="0.3">
      <c r="A24" s="6" t="s">
        <v>836</v>
      </c>
      <c r="B24" s="134">
        <v>44260</v>
      </c>
      <c r="C24" s="6" t="s">
        <v>21</v>
      </c>
      <c r="D24" s="13">
        <v>0</v>
      </c>
      <c r="E24" s="13">
        <v>0</v>
      </c>
      <c r="F24" s="13">
        <f t="shared" ref="F24" si="22">SUM(D24:E24)</f>
        <v>0</v>
      </c>
      <c r="H24" s="6" t="str">
        <f t="shared" si="5"/>
        <v>2/21/21 - 2/26/21</v>
      </c>
      <c r="I24" s="134">
        <f t="shared" si="6"/>
        <v>44260</v>
      </c>
      <c r="J24" s="6" t="str">
        <f t="shared" si="7"/>
        <v>Fire</v>
      </c>
      <c r="K24" s="13"/>
      <c r="L24" s="13"/>
      <c r="M24" s="13">
        <f t="shared" si="21"/>
        <v>0</v>
      </c>
      <c r="O24" s="6" t="str">
        <f t="shared" si="8"/>
        <v>2/21/21 - 2/26/21</v>
      </c>
      <c r="P24" s="134">
        <f t="shared" si="9"/>
        <v>44260</v>
      </c>
      <c r="Q24" s="6" t="str">
        <f t="shared" si="10"/>
        <v>Fire</v>
      </c>
      <c r="R24" s="13"/>
      <c r="S24" s="13"/>
      <c r="T24" s="13">
        <f t="shared" si="1"/>
        <v>0</v>
      </c>
      <c r="V24" s="6" t="str">
        <f t="shared" si="11"/>
        <v>2/21/21 - 2/26/21</v>
      </c>
      <c r="W24" s="134">
        <f t="shared" si="12"/>
        <v>44260</v>
      </c>
      <c r="X24" s="6" t="str">
        <f t="shared" si="13"/>
        <v>Fire</v>
      </c>
      <c r="Y24" s="13">
        <v>1982</v>
      </c>
      <c r="Z24" s="13">
        <v>647.76</v>
      </c>
      <c r="AA24" s="13">
        <f t="shared" si="2"/>
        <v>2629.76</v>
      </c>
      <c r="AC24" s="6" t="str">
        <f t="shared" si="14"/>
        <v>2/21/21 - 2/26/21</v>
      </c>
      <c r="AD24" s="134">
        <f t="shared" si="15"/>
        <v>44260</v>
      </c>
      <c r="AE24" s="6" t="str">
        <f t="shared" si="16"/>
        <v>Fire</v>
      </c>
      <c r="AF24" s="13"/>
      <c r="AG24" s="13"/>
      <c r="AH24" s="13">
        <f t="shared" si="3"/>
        <v>0</v>
      </c>
      <c r="AJ24" s="6" t="str">
        <f t="shared" si="17"/>
        <v>2/21/21 - 2/26/21</v>
      </c>
      <c r="AK24" s="134">
        <f t="shared" si="18"/>
        <v>44260</v>
      </c>
      <c r="AL24" s="6" t="str">
        <f t="shared" si="19"/>
        <v>Fire</v>
      </c>
      <c r="AM24" s="13"/>
      <c r="AN24" s="13"/>
      <c r="AO24" s="13">
        <f t="shared" si="4"/>
        <v>0</v>
      </c>
    </row>
    <row r="25" spans="1:41" x14ac:dyDescent="0.3">
      <c r="A25" s="6" t="s">
        <v>831</v>
      </c>
      <c r="B25" s="134">
        <v>44265</v>
      </c>
      <c r="C25" s="6" t="s">
        <v>20</v>
      </c>
      <c r="D25" s="13">
        <v>6438.71</v>
      </c>
      <c r="E25" s="13">
        <v>1618.89</v>
      </c>
      <c r="F25" s="13">
        <f t="shared" ref="F25:F26" si="23">SUM(D25:E25)</f>
        <v>8057.6</v>
      </c>
      <c r="H25" s="6" t="str">
        <f t="shared" si="5"/>
        <v>2/18/21 - 3/3/21</v>
      </c>
      <c r="I25" s="134">
        <f t="shared" si="6"/>
        <v>44265</v>
      </c>
      <c r="J25" s="6" t="str">
        <f t="shared" si="7"/>
        <v>BW</v>
      </c>
      <c r="K25" s="13"/>
      <c r="L25" s="13"/>
      <c r="M25" s="13">
        <f t="shared" si="21"/>
        <v>0</v>
      </c>
      <c r="O25" s="6" t="str">
        <f t="shared" si="8"/>
        <v>2/18/21 - 3/3/21</v>
      </c>
      <c r="P25" s="134">
        <f t="shared" si="9"/>
        <v>44265</v>
      </c>
      <c r="Q25" s="6" t="str">
        <f t="shared" si="10"/>
        <v>BW</v>
      </c>
      <c r="R25" s="13"/>
      <c r="S25" s="13"/>
      <c r="T25" s="13">
        <f t="shared" si="1"/>
        <v>0</v>
      </c>
      <c r="V25" s="6" t="str">
        <f t="shared" si="11"/>
        <v>2/18/21 - 3/3/21</v>
      </c>
      <c r="W25" s="134">
        <f t="shared" si="12"/>
        <v>44265</v>
      </c>
      <c r="X25" s="6" t="str">
        <f t="shared" si="13"/>
        <v>BW</v>
      </c>
      <c r="Y25" s="13">
        <v>6262.85</v>
      </c>
      <c r="Z25" s="13">
        <v>1766.41</v>
      </c>
      <c r="AA25" s="13">
        <f t="shared" si="2"/>
        <v>8029.26</v>
      </c>
      <c r="AC25" s="6" t="str">
        <f t="shared" si="14"/>
        <v>2/18/21 - 3/3/21</v>
      </c>
      <c r="AD25" s="134">
        <f t="shared" si="15"/>
        <v>44265</v>
      </c>
      <c r="AE25" s="6" t="str">
        <f t="shared" si="16"/>
        <v>BW</v>
      </c>
      <c r="AF25" s="13"/>
      <c r="AG25" s="13"/>
      <c r="AH25" s="13">
        <f t="shared" si="3"/>
        <v>0</v>
      </c>
      <c r="AJ25" s="6" t="str">
        <f t="shared" si="17"/>
        <v>2/18/21 - 3/3/21</v>
      </c>
      <c r="AK25" s="134">
        <f t="shared" si="18"/>
        <v>44265</v>
      </c>
      <c r="AL25" s="6" t="str">
        <f t="shared" si="19"/>
        <v>BW</v>
      </c>
      <c r="AM25" s="13"/>
      <c r="AN25" s="13"/>
      <c r="AO25" s="13">
        <f t="shared" si="4"/>
        <v>0</v>
      </c>
    </row>
    <row r="26" spans="1:41" x14ac:dyDescent="0.3">
      <c r="A26" s="6" t="s">
        <v>837</v>
      </c>
      <c r="B26" s="134">
        <v>44275</v>
      </c>
      <c r="C26" s="6" t="s">
        <v>21</v>
      </c>
      <c r="D26" s="13">
        <v>1692.86</v>
      </c>
      <c r="E26" s="13">
        <v>519.79999999999995</v>
      </c>
      <c r="F26" s="13">
        <f t="shared" si="23"/>
        <v>2212.66</v>
      </c>
      <c r="H26" s="6" t="str">
        <f t="shared" si="5"/>
        <v>2/27/21 - 3/13/21</v>
      </c>
      <c r="I26" s="134">
        <f t="shared" si="6"/>
        <v>44275</v>
      </c>
      <c r="J26" s="6" t="str">
        <f t="shared" si="7"/>
        <v>Fire</v>
      </c>
      <c r="K26" s="13"/>
      <c r="L26" s="13"/>
      <c r="M26" s="13">
        <f t="shared" si="21"/>
        <v>0</v>
      </c>
      <c r="O26" s="6" t="str">
        <f t="shared" si="8"/>
        <v>2/27/21 - 3/13/21</v>
      </c>
      <c r="P26" s="134">
        <f t="shared" si="9"/>
        <v>44275</v>
      </c>
      <c r="Q26" s="6" t="str">
        <f t="shared" si="10"/>
        <v>Fire</v>
      </c>
      <c r="R26" s="13"/>
      <c r="S26" s="13"/>
      <c r="T26" s="13">
        <f t="shared" si="1"/>
        <v>0</v>
      </c>
      <c r="V26" s="6" t="str">
        <f t="shared" si="11"/>
        <v>2/27/21 - 3/13/21</v>
      </c>
      <c r="W26" s="134">
        <f t="shared" si="12"/>
        <v>44275</v>
      </c>
      <c r="X26" s="6" t="str">
        <f t="shared" si="13"/>
        <v>Fire</v>
      </c>
      <c r="Y26" s="13">
        <v>1948.44</v>
      </c>
      <c r="Z26" s="13">
        <v>631.17999999999995</v>
      </c>
      <c r="AA26" s="13">
        <f t="shared" si="2"/>
        <v>2579.62</v>
      </c>
      <c r="AC26" s="6" t="str">
        <f t="shared" si="14"/>
        <v>2/27/21 - 3/13/21</v>
      </c>
      <c r="AD26" s="134">
        <f t="shared" si="15"/>
        <v>44275</v>
      </c>
      <c r="AE26" s="6" t="str">
        <f t="shared" si="16"/>
        <v>Fire</v>
      </c>
      <c r="AF26" s="13"/>
      <c r="AG26" s="13"/>
      <c r="AH26" s="13">
        <f t="shared" si="3"/>
        <v>0</v>
      </c>
      <c r="AJ26" s="6" t="str">
        <f t="shared" si="17"/>
        <v>2/27/21 - 3/13/21</v>
      </c>
      <c r="AK26" s="134">
        <f t="shared" si="18"/>
        <v>44275</v>
      </c>
      <c r="AL26" s="6" t="str">
        <f t="shared" si="19"/>
        <v>Fire</v>
      </c>
      <c r="AM26" s="13"/>
      <c r="AN26" s="13"/>
      <c r="AO26" s="13">
        <f t="shared" si="4"/>
        <v>0</v>
      </c>
    </row>
    <row r="27" spans="1:41" x14ac:dyDescent="0.3">
      <c r="A27" s="6" t="s">
        <v>832</v>
      </c>
      <c r="B27" s="134">
        <v>44279</v>
      </c>
      <c r="C27" s="6" t="s">
        <v>20</v>
      </c>
      <c r="D27" s="13">
        <v>6518.8</v>
      </c>
      <c r="E27" s="13">
        <v>1679.84</v>
      </c>
      <c r="F27" s="13">
        <f t="shared" si="20"/>
        <v>8198.64</v>
      </c>
      <c r="H27" s="6" t="str">
        <f t="shared" si="5"/>
        <v>3/4/21 - 3/17/21</v>
      </c>
      <c r="I27" s="134">
        <f t="shared" si="6"/>
        <v>44279</v>
      </c>
      <c r="J27" s="6" t="str">
        <f t="shared" si="7"/>
        <v>BW</v>
      </c>
      <c r="K27" s="13"/>
      <c r="L27" s="13"/>
      <c r="M27" s="13">
        <f t="shared" si="21"/>
        <v>0</v>
      </c>
      <c r="O27" s="6" t="str">
        <f t="shared" si="8"/>
        <v>3/4/21 - 3/17/21</v>
      </c>
      <c r="P27" s="134">
        <f t="shared" si="9"/>
        <v>44279</v>
      </c>
      <c r="Q27" s="6" t="str">
        <f t="shared" si="10"/>
        <v>BW</v>
      </c>
      <c r="R27" s="13"/>
      <c r="S27" s="13"/>
      <c r="T27" s="13">
        <f t="shared" si="1"/>
        <v>0</v>
      </c>
      <c r="V27" s="6" t="str">
        <f t="shared" si="11"/>
        <v>3/4/21 - 3/17/21</v>
      </c>
      <c r="W27" s="134">
        <f t="shared" si="12"/>
        <v>44279</v>
      </c>
      <c r="X27" s="6" t="str">
        <f t="shared" si="13"/>
        <v>BW</v>
      </c>
      <c r="Y27" s="13">
        <f>9712.5+187.37</f>
        <v>9899.8700000000008</v>
      </c>
      <c r="Z27" s="13">
        <f>2801.26+27.13</f>
        <v>2828.3900000000003</v>
      </c>
      <c r="AA27" s="13">
        <f t="shared" si="2"/>
        <v>12728.260000000002</v>
      </c>
      <c r="AC27" s="6" t="str">
        <f t="shared" si="14"/>
        <v>3/4/21 - 3/17/21</v>
      </c>
      <c r="AD27" s="134">
        <f t="shared" si="15"/>
        <v>44279</v>
      </c>
      <c r="AE27" s="6" t="str">
        <f t="shared" si="16"/>
        <v>BW</v>
      </c>
      <c r="AF27" s="13"/>
      <c r="AG27" s="13"/>
      <c r="AH27" s="13">
        <f t="shared" si="3"/>
        <v>0</v>
      </c>
      <c r="AJ27" s="6" t="str">
        <f t="shared" si="17"/>
        <v>3/4/21 - 3/17/21</v>
      </c>
      <c r="AK27" s="134">
        <f t="shared" si="18"/>
        <v>44279</v>
      </c>
      <c r="AL27" s="6" t="str">
        <f t="shared" si="19"/>
        <v>BW</v>
      </c>
      <c r="AM27" s="13"/>
      <c r="AN27" s="13"/>
      <c r="AO27" s="13">
        <f t="shared" si="4"/>
        <v>0</v>
      </c>
    </row>
    <row r="28" spans="1:41" x14ac:dyDescent="0.3">
      <c r="A28" s="6" t="s">
        <v>838</v>
      </c>
      <c r="B28" s="134">
        <v>44290</v>
      </c>
      <c r="C28" s="6" t="s">
        <v>21</v>
      </c>
      <c r="D28" s="13">
        <v>0</v>
      </c>
      <c r="E28" s="13">
        <v>0</v>
      </c>
      <c r="F28" s="13">
        <f t="shared" ref="F28:F43" si="24">SUM(D28:E28)</f>
        <v>0</v>
      </c>
      <c r="H28" s="6" t="str">
        <f t="shared" si="5"/>
        <v>3/14/21 - 3/28/21</v>
      </c>
      <c r="I28" s="134">
        <f t="shared" si="6"/>
        <v>44290</v>
      </c>
      <c r="J28" s="6" t="str">
        <f t="shared" si="7"/>
        <v>Fire</v>
      </c>
      <c r="K28" s="13"/>
      <c r="L28" s="13"/>
      <c r="M28" s="13">
        <f t="shared" ref="M28:M48" si="25">SUM(K28:L28)</f>
        <v>0</v>
      </c>
      <c r="O28" s="6" t="str">
        <f t="shared" si="8"/>
        <v>3/14/21 - 3/28/21</v>
      </c>
      <c r="P28" s="134">
        <f t="shared" si="9"/>
        <v>44290</v>
      </c>
      <c r="Q28" s="6" t="str">
        <f t="shared" si="10"/>
        <v>Fire</v>
      </c>
      <c r="R28" s="13"/>
      <c r="S28" s="13"/>
      <c r="T28" s="13">
        <f t="shared" ref="T28:T48" si="26">SUM(R28:S28)</f>
        <v>0</v>
      </c>
      <c r="V28" s="6" t="str">
        <f t="shared" si="11"/>
        <v>3/14/21 - 3/28/21</v>
      </c>
      <c r="W28" s="134">
        <f t="shared" si="12"/>
        <v>44290</v>
      </c>
      <c r="X28" s="6" t="str">
        <f t="shared" si="13"/>
        <v>Fire</v>
      </c>
      <c r="Y28" s="13">
        <v>0</v>
      </c>
      <c r="Z28" s="13">
        <v>0</v>
      </c>
      <c r="AA28" s="13">
        <f t="shared" ref="AA28:AA57" si="27">SUM(Y28:Z28)</f>
        <v>0</v>
      </c>
      <c r="AC28" s="6" t="str">
        <f t="shared" si="14"/>
        <v>3/14/21 - 3/28/21</v>
      </c>
      <c r="AD28" s="134">
        <f t="shared" si="15"/>
        <v>44290</v>
      </c>
      <c r="AE28" s="6" t="str">
        <f t="shared" si="16"/>
        <v>Fire</v>
      </c>
      <c r="AF28" s="13"/>
      <c r="AG28" s="13"/>
      <c r="AH28" s="13">
        <f t="shared" ref="AH28:AH58" si="28">SUM(AF28:AG28)</f>
        <v>0</v>
      </c>
      <c r="AJ28" s="6" t="str">
        <f t="shared" si="17"/>
        <v>3/14/21 - 3/28/21</v>
      </c>
      <c r="AK28" s="134">
        <f t="shared" si="18"/>
        <v>44290</v>
      </c>
      <c r="AL28" s="6" t="str">
        <f t="shared" si="19"/>
        <v>Fire</v>
      </c>
      <c r="AM28" s="13"/>
      <c r="AN28" s="13"/>
      <c r="AO28" s="13">
        <f t="shared" ref="AO28:AO58" si="29">SUM(AM28:AN28)</f>
        <v>0</v>
      </c>
    </row>
    <row r="29" spans="1:41" x14ac:dyDescent="0.3">
      <c r="A29" s="6" t="s">
        <v>833</v>
      </c>
      <c r="B29" s="134">
        <v>44293</v>
      </c>
      <c r="C29" s="6" t="s">
        <v>20</v>
      </c>
      <c r="D29" s="13">
        <v>4349.8</v>
      </c>
      <c r="E29" s="13">
        <v>1174.6099999999999</v>
      </c>
      <c r="F29" s="13">
        <f t="shared" si="24"/>
        <v>5524.41</v>
      </c>
      <c r="H29" s="6" t="str">
        <f t="shared" si="5"/>
        <v>3/18/21 - 3/31/21</v>
      </c>
      <c r="I29" s="134">
        <f t="shared" si="6"/>
        <v>44293</v>
      </c>
      <c r="J29" s="6" t="str">
        <f t="shared" si="7"/>
        <v>BW</v>
      </c>
      <c r="K29" s="13"/>
      <c r="L29" s="13"/>
      <c r="M29" s="13">
        <f t="shared" si="25"/>
        <v>0</v>
      </c>
      <c r="O29" s="6" t="str">
        <f t="shared" si="8"/>
        <v>3/18/21 - 3/31/21</v>
      </c>
      <c r="P29" s="134">
        <f t="shared" si="9"/>
        <v>44293</v>
      </c>
      <c r="Q29" s="6" t="str">
        <f t="shared" si="10"/>
        <v>BW</v>
      </c>
      <c r="R29" s="13"/>
      <c r="S29" s="13"/>
      <c r="T29" s="13">
        <f t="shared" si="26"/>
        <v>0</v>
      </c>
      <c r="V29" s="6" t="str">
        <f t="shared" si="11"/>
        <v>3/18/21 - 3/31/21</v>
      </c>
      <c r="W29" s="134">
        <f t="shared" si="12"/>
        <v>44293</v>
      </c>
      <c r="X29" s="6" t="str">
        <f t="shared" si="13"/>
        <v>BW</v>
      </c>
      <c r="Y29" s="13">
        <v>4245.8999999999996</v>
      </c>
      <c r="Z29" s="13">
        <v>1235.42</v>
      </c>
      <c r="AA29" s="13">
        <f t="shared" si="27"/>
        <v>5481.32</v>
      </c>
      <c r="AC29" s="6" t="str">
        <f t="shared" si="14"/>
        <v>3/18/21 - 3/31/21</v>
      </c>
      <c r="AD29" s="134">
        <f t="shared" si="15"/>
        <v>44293</v>
      </c>
      <c r="AE29" s="6" t="str">
        <f t="shared" si="16"/>
        <v>BW</v>
      </c>
      <c r="AF29" s="13"/>
      <c r="AG29" s="13"/>
      <c r="AH29" s="13">
        <f t="shared" si="28"/>
        <v>0</v>
      </c>
      <c r="AJ29" s="6" t="str">
        <f t="shared" si="17"/>
        <v>3/18/21 - 3/31/21</v>
      </c>
      <c r="AK29" s="134">
        <f t="shared" si="18"/>
        <v>44293</v>
      </c>
      <c r="AL29" s="6" t="str">
        <f t="shared" si="19"/>
        <v>BW</v>
      </c>
      <c r="AM29" s="13"/>
      <c r="AN29" s="13"/>
      <c r="AO29" s="13">
        <f t="shared" si="29"/>
        <v>0</v>
      </c>
    </row>
    <row r="30" spans="1:41" x14ac:dyDescent="0.3">
      <c r="A30" s="6" t="s">
        <v>839</v>
      </c>
      <c r="B30" s="134">
        <v>44305</v>
      </c>
      <c r="C30" s="6" t="s">
        <v>21</v>
      </c>
      <c r="D30" s="13">
        <v>0</v>
      </c>
      <c r="E30" s="13">
        <v>0</v>
      </c>
      <c r="F30" s="13">
        <f t="shared" si="24"/>
        <v>0</v>
      </c>
      <c r="H30" s="6" t="str">
        <f t="shared" si="5"/>
        <v>3/29/21 - 4/12/21</v>
      </c>
      <c r="I30" s="134">
        <f t="shared" si="6"/>
        <v>44305</v>
      </c>
      <c r="J30" s="6" t="str">
        <f t="shared" si="7"/>
        <v>Fire</v>
      </c>
      <c r="K30" s="13"/>
      <c r="L30" s="13"/>
      <c r="M30" s="13">
        <f t="shared" si="25"/>
        <v>0</v>
      </c>
      <c r="O30" s="6" t="str">
        <f t="shared" si="8"/>
        <v>3/29/21 - 4/12/21</v>
      </c>
      <c r="P30" s="134">
        <f t="shared" si="9"/>
        <v>44305</v>
      </c>
      <c r="Q30" s="6" t="str">
        <f t="shared" si="10"/>
        <v>Fire</v>
      </c>
      <c r="R30" s="13"/>
      <c r="S30" s="13"/>
      <c r="T30" s="13">
        <f t="shared" si="26"/>
        <v>0</v>
      </c>
      <c r="V30" s="6" t="str">
        <f t="shared" si="11"/>
        <v>3/29/21 - 4/12/21</v>
      </c>
      <c r="W30" s="134">
        <f t="shared" si="12"/>
        <v>44305</v>
      </c>
      <c r="X30" s="6" t="str">
        <f t="shared" si="13"/>
        <v>Fire</v>
      </c>
      <c r="Y30" s="13">
        <v>5223.1099999999997</v>
      </c>
      <c r="Z30" s="13">
        <v>1623.77</v>
      </c>
      <c r="AA30" s="13">
        <f t="shared" si="27"/>
        <v>6846.8799999999992</v>
      </c>
      <c r="AC30" s="6" t="str">
        <f t="shared" si="14"/>
        <v>3/29/21 - 4/12/21</v>
      </c>
      <c r="AD30" s="134">
        <f t="shared" si="15"/>
        <v>44305</v>
      </c>
      <c r="AE30" s="6" t="str">
        <f t="shared" si="16"/>
        <v>Fire</v>
      </c>
      <c r="AF30" s="13"/>
      <c r="AG30" s="13"/>
      <c r="AH30" s="13">
        <f t="shared" si="28"/>
        <v>0</v>
      </c>
      <c r="AJ30" s="6" t="str">
        <f t="shared" si="17"/>
        <v>3/29/21 - 4/12/21</v>
      </c>
      <c r="AK30" s="134">
        <f t="shared" si="18"/>
        <v>44305</v>
      </c>
      <c r="AL30" s="6" t="str">
        <f t="shared" si="19"/>
        <v>Fire</v>
      </c>
      <c r="AM30" s="13"/>
      <c r="AN30" s="13"/>
      <c r="AO30" s="13">
        <f t="shared" si="29"/>
        <v>0</v>
      </c>
    </row>
    <row r="31" spans="1:41" x14ac:dyDescent="0.3">
      <c r="A31" s="6" t="s">
        <v>834</v>
      </c>
      <c r="B31" s="134">
        <v>44307</v>
      </c>
      <c r="C31" s="6" t="s">
        <v>20</v>
      </c>
      <c r="D31" s="13">
        <v>4676.12</v>
      </c>
      <c r="E31" s="13">
        <v>1307.52</v>
      </c>
      <c r="F31" s="13">
        <f t="shared" si="24"/>
        <v>5983.6399999999994</v>
      </c>
      <c r="H31" s="6" t="str">
        <f t="shared" si="5"/>
        <v>4/1/21 - 4/14/21</v>
      </c>
      <c r="I31" s="134">
        <f t="shared" si="6"/>
        <v>44307</v>
      </c>
      <c r="J31" s="6" t="str">
        <f t="shared" si="7"/>
        <v>BW</v>
      </c>
      <c r="K31" s="13"/>
      <c r="L31" s="13"/>
      <c r="M31" s="13">
        <f t="shared" si="25"/>
        <v>0</v>
      </c>
      <c r="O31" s="6" t="str">
        <f t="shared" si="8"/>
        <v>4/1/21 - 4/14/21</v>
      </c>
      <c r="P31" s="134">
        <f t="shared" si="9"/>
        <v>44307</v>
      </c>
      <c r="Q31" s="6" t="str">
        <f t="shared" si="10"/>
        <v>BW</v>
      </c>
      <c r="R31" s="13"/>
      <c r="S31" s="13"/>
      <c r="T31" s="13">
        <f t="shared" si="26"/>
        <v>0</v>
      </c>
      <c r="V31" s="6" t="str">
        <f t="shared" si="11"/>
        <v>4/1/21 - 4/14/21</v>
      </c>
      <c r="W31" s="134">
        <f t="shared" si="12"/>
        <v>44307</v>
      </c>
      <c r="X31" s="6" t="str">
        <f t="shared" si="13"/>
        <v>BW</v>
      </c>
      <c r="Y31" s="13">
        <v>11434.79</v>
      </c>
      <c r="Z31" s="13">
        <v>3373.03</v>
      </c>
      <c r="AA31" s="13">
        <f t="shared" si="27"/>
        <v>14807.820000000002</v>
      </c>
      <c r="AC31" s="6" t="str">
        <f t="shared" si="14"/>
        <v>4/1/21 - 4/14/21</v>
      </c>
      <c r="AD31" s="134">
        <f t="shared" si="15"/>
        <v>44307</v>
      </c>
      <c r="AE31" s="6" t="str">
        <f t="shared" si="16"/>
        <v>BW</v>
      </c>
      <c r="AF31" s="13"/>
      <c r="AG31" s="13"/>
      <c r="AH31" s="13">
        <f t="shared" si="28"/>
        <v>0</v>
      </c>
      <c r="AJ31" s="6" t="str">
        <f t="shared" si="17"/>
        <v>4/1/21 - 4/14/21</v>
      </c>
      <c r="AK31" s="134">
        <f t="shared" si="18"/>
        <v>44307</v>
      </c>
      <c r="AL31" s="6" t="str">
        <f t="shared" si="19"/>
        <v>BW</v>
      </c>
      <c r="AM31" s="13"/>
      <c r="AN31" s="13"/>
      <c r="AO31" s="13">
        <f t="shared" si="29"/>
        <v>0</v>
      </c>
    </row>
    <row r="32" spans="1:41" x14ac:dyDescent="0.3">
      <c r="A32" s="6" t="s">
        <v>840</v>
      </c>
      <c r="B32" s="134">
        <v>44320</v>
      </c>
      <c r="C32" s="6" t="s">
        <v>21</v>
      </c>
      <c r="D32" s="13"/>
      <c r="E32" s="13"/>
      <c r="F32" s="13">
        <f t="shared" si="24"/>
        <v>0</v>
      </c>
      <c r="H32" s="6" t="str">
        <f t="shared" si="5"/>
        <v>4/13/21 - 4/27/21</v>
      </c>
      <c r="I32" s="134">
        <f t="shared" si="6"/>
        <v>44320</v>
      </c>
      <c r="J32" s="6" t="str">
        <f t="shared" si="7"/>
        <v>Fire</v>
      </c>
      <c r="K32" s="13"/>
      <c r="L32" s="13"/>
      <c r="M32" s="13">
        <f t="shared" si="25"/>
        <v>0</v>
      </c>
      <c r="O32" s="6" t="str">
        <f t="shared" si="8"/>
        <v>4/13/21 - 4/27/21</v>
      </c>
      <c r="P32" s="134">
        <f t="shared" si="9"/>
        <v>44320</v>
      </c>
      <c r="Q32" s="6" t="str">
        <f t="shared" si="10"/>
        <v>Fire</v>
      </c>
      <c r="R32" s="13"/>
      <c r="S32" s="13"/>
      <c r="T32" s="13">
        <f t="shared" si="26"/>
        <v>0</v>
      </c>
      <c r="V32" s="6" t="str">
        <f t="shared" si="11"/>
        <v>4/13/21 - 4/27/21</v>
      </c>
      <c r="W32" s="134">
        <f t="shared" si="12"/>
        <v>44320</v>
      </c>
      <c r="X32" s="6" t="str">
        <f t="shared" si="13"/>
        <v>Fire</v>
      </c>
      <c r="Y32" s="13">
        <v>2405.2199999999998</v>
      </c>
      <c r="Z32" s="13">
        <v>827.01</v>
      </c>
      <c r="AA32" s="13">
        <f t="shared" si="27"/>
        <v>3232.2299999999996</v>
      </c>
      <c r="AC32" s="6" t="str">
        <f t="shared" si="14"/>
        <v>4/13/21 - 4/27/21</v>
      </c>
      <c r="AD32" s="134">
        <f t="shared" si="15"/>
        <v>44320</v>
      </c>
      <c r="AE32" s="6" t="str">
        <f t="shared" si="16"/>
        <v>Fire</v>
      </c>
      <c r="AF32" s="13"/>
      <c r="AG32" s="13"/>
      <c r="AH32" s="13">
        <f t="shared" si="28"/>
        <v>0</v>
      </c>
      <c r="AJ32" s="6" t="str">
        <f t="shared" si="17"/>
        <v>4/13/21 - 4/27/21</v>
      </c>
      <c r="AK32" s="134">
        <f t="shared" si="18"/>
        <v>44320</v>
      </c>
      <c r="AL32" s="6" t="str">
        <f t="shared" si="19"/>
        <v>Fire</v>
      </c>
      <c r="AM32" s="13"/>
      <c r="AN32" s="13"/>
      <c r="AO32" s="13">
        <f t="shared" si="29"/>
        <v>0</v>
      </c>
    </row>
    <row r="33" spans="1:41" x14ac:dyDescent="0.3">
      <c r="A33" s="6" t="s">
        <v>835</v>
      </c>
      <c r="B33" s="134">
        <v>44321</v>
      </c>
      <c r="C33" s="6" t="s">
        <v>20</v>
      </c>
      <c r="D33" s="13">
        <v>3800.05</v>
      </c>
      <c r="E33" s="13">
        <v>1033.44</v>
      </c>
      <c r="F33" s="13">
        <f t="shared" si="24"/>
        <v>4833.49</v>
      </c>
      <c r="H33" s="6" t="str">
        <f t="shared" si="5"/>
        <v>4/15/21 - 4/28/21</v>
      </c>
      <c r="I33" s="134">
        <f t="shared" si="6"/>
        <v>44321</v>
      </c>
      <c r="J33" s="6" t="str">
        <f t="shared" si="7"/>
        <v>BW</v>
      </c>
      <c r="K33" s="13"/>
      <c r="L33" s="13"/>
      <c r="M33" s="13">
        <f t="shared" si="25"/>
        <v>0</v>
      </c>
      <c r="O33" s="6" t="str">
        <f t="shared" si="8"/>
        <v>4/15/21 - 4/28/21</v>
      </c>
      <c r="P33" s="134">
        <f t="shared" si="9"/>
        <v>44321</v>
      </c>
      <c r="Q33" s="6" t="str">
        <f t="shared" si="10"/>
        <v>BW</v>
      </c>
      <c r="R33" s="13"/>
      <c r="S33" s="13"/>
      <c r="T33" s="13">
        <f t="shared" si="26"/>
        <v>0</v>
      </c>
      <c r="V33" s="6" t="str">
        <f t="shared" si="11"/>
        <v>4/15/21 - 4/28/21</v>
      </c>
      <c r="W33" s="134">
        <f t="shared" si="12"/>
        <v>44321</v>
      </c>
      <c r="X33" s="6" t="str">
        <f t="shared" si="13"/>
        <v>BW</v>
      </c>
      <c r="Y33" s="13">
        <v>4988.6899999999996</v>
      </c>
      <c r="Z33" s="13">
        <v>1474.04</v>
      </c>
      <c r="AA33" s="13">
        <f t="shared" si="27"/>
        <v>6462.73</v>
      </c>
      <c r="AC33" s="6" t="str">
        <f t="shared" si="14"/>
        <v>4/15/21 - 4/28/21</v>
      </c>
      <c r="AD33" s="134">
        <f t="shared" si="15"/>
        <v>44321</v>
      </c>
      <c r="AE33" s="6" t="str">
        <f t="shared" si="16"/>
        <v>BW</v>
      </c>
      <c r="AF33" s="13"/>
      <c r="AG33" s="13"/>
      <c r="AH33" s="13">
        <f t="shared" si="28"/>
        <v>0</v>
      </c>
      <c r="AJ33" s="6" t="str">
        <f t="shared" si="17"/>
        <v>4/15/21 - 4/28/21</v>
      </c>
      <c r="AK33" s="134">
        <f t="shared" si="18"/>
        <v>44321</v>
      </c>
      <c r="AL33" s="6" t="str">
        <f t="shared" si="19"/>
        <v>BW</v>
      </c>
      <c r="AM33" s="13"/>
      <c r="AN33" s="13"/>
      <c r="AO33" s="13">
        <f t="shared" si="29"/>
        <v>0</v>
      </c>
    </row>
    <row r="34" spans="1:41" x14ac:dyDescent="0.3">
      <c r="A34" s="6" t="s">
        <v>841</v>
      </c>
      <c r="B34" s="134">
        <v>44335</v>
      </c>
      <c r="C34" s="6" t="s">
        <v>21</v>
      </c>
      <c r="D34" s="13"/>
      <c r="E34" s="13"/>
      <c r="F34" s="13">
        <f t="shared" si="24"/>
        <v>0</v>
      </c>
      <c r="H34" s="6" t="str">
        <f t="shared" si="5"/>
        <v>4/28/21 - 5/12/21</v>
      </c>
      <c r="I34" s="134">
        <f t="shared" si="6"/>
        <v>44335</v>
      </c>
      <c r="J34" s="6" t="str">
        <f t="shared" si="7"/>
        <v>Fire</v>
      </c>
      <c r="K34" s="13"/>
      <c r="L34" s="13"/>
      <c r="M34" s="13">
        <f t="shared" si="25"/>
        <v>0</v>
      </c>
      <c r="O34" s="6" t="str">
        <f t="shared" si="8"/>
        <v>4/28/21 - 5/12/21</v>
      </c>
      <c r="P34" s="134">
        <f t="shared" si="9"/>
        <v>44335</v>
      </c>
      <c r="Q34" s="6" t="str">
        <f t="shared" si="10"/>
        <v>Fire</v>
      </c>
      <c r="R34" s="13"/>
      <c r="S34" s="13"/>
      <c r="T34" s="13">
        <f t="shared" si="26"/>
        <v>0</v>
      </c>
      <c r="V34" s="6" t="str">
        <f t="shared" si="11"/>
        <v>4/28/21 - 5/12/21</v>
      </c>
      <c r="W34" s="134">
        <f t="shared" si="12"/>
        <v>44335</v>
      </c>
      <c r="X34" s="6" t="str">
        <f t="shared" si="13"/>
        <v>Fire</v>
      </c>
      <c r="Y34" s="13">
        <v>2527.59</v>
      </c>
      <c r="Z34" s="13">
        <v>801.67</v>
      </c>
      <c r="AA34" s="13">
        <f t="shared" si="27"/>
        <v>3329.26</v>
      </c>
      <c r="AC34" s="6" t="str">
        <f t="shared" si="14"/>
        <v>4/28/21 - 5/12/21</v>
      </c>
      <c r="AD34" s="134">
        <f t="shared" si="15"/>
        <v>44335</v>
      </c>
      <c r="AE34" s="6" t="str">
        <f t="shared" si="16"/>
        <v>Fire</v>
      </c>
      <c r="AF34" s="13"/>
      <c r="AG34" s="13"/>
      <c r="AH34" s="13">
        <f t="shared" si="28"/>
        <v>0</v>
      </c>
      <c r="AJ34" s="6" t="str">
        <f t="shared" si="17"/>
        <v>4/28/21 - 5/12/21</v>
      </c>
      <c r="AK34" s="134">
        <f t="shared" si="18"/>
        <v>44335</v>
      </c>
      <c r="AL34" s="6" t="str">
        <f t="shared" si="19"/>
        <v>Fire</v>
      </c>
      <c r="AM34" s="13"/>
      <c r="AN34" s="13"/>
      <c r="AO34" s="13">
        <f t="shared" si="29"/>
        <v>0</v>
      </c>
    </row>
    <row r="35" spans="1:41" x14ac:dyDescent="0.3">
      <c r="A35" s="6" t="s">
        <v>842</v>
      </c>
      <c r="B35" s="134">
        <v>44335</v>
      </c>
      <c r="C35" s="6" t="s">
        <v>20</v>
      </c>
      <c r="D35" s="13">
        <v>4360.93</v>
      </c>
      <c r="E35" s="13">
        <v>1166.06</v>
      </c>
      <c r="F35" s="13">
        <f t="shared" ref="F35:F37" si="30">SUM(D35:E35)</f>
        <v>5526.99</v>
      </c>
      <c r="H35" s="6" t="str">
        <f t="shared" si="5"/>
        <v>4/29/21 - 5/12/21</v>
      </c>
      <c r="I35" s="134">
        <f t="shared" si="6"/>
        <v>44335</v>
      </c>
      <c r="J35" s="6" t="str">
        <f t="shared" si="7"/>
        <v>BW</v>
      </c>
      <c r="K35" s="13"/>
      <c r="L35" s="13"/>
      <c r="M35" s="13">
        <f t="shared" ref="M35:M37" si="31">SUM(K35:L35)</f>
        <v>0</v>
      </c>
      <c r="O35" s="6" t="str">
        <f t="shared" si="8"/>
        <v>4/29/21 - 5/12/21</v>
      </c>
      <c r="P35" s="134">
        <f t="shared" si="9"/>
        <v>44335</v>
      </c>
      <c r="Q35" s="6" t="str">
        <f t="shared" si="10"/>
        <v>BW</v>
      </c>
      <c r="R35" s="13"/>
      <c r="S35" s="13"/>
      <c r="T35" s="13">
        <f t="shared" ref="T35:T37" si="32">SUM(R35:S35)</f>
        <v>0</v>
      </c>
      <c r="V35" s="6" t="str">
        <f t="shared" si="11"/>
        <v>4/29/21 - 5/12/21</v>
      </c>
      <c r="W35" s="134">
        <f t="shared" si="12"/>
        <v>44335</v>
      </c>
      <c r="X35" s="6" t="str">
        <f t="shared" si="13"/>
        <v>BW</v>
      </c>
      <c r="Y35" s="13">
        <v>8320.25</v>
      </c>
      <c r="Z35" s="13">
        <v>2635.33</v>
      </c>
      <c r="AA35" s="13">
        <f t="shared" si="27"/>
        <v>10955.58</v>
      </c>
      <c r="AC35" s="6" t="str">
        <f t="shared" si="14"/>
        <v>4/29/21 - 5/12/21</v>
      </c>
      <c r="AD35" s="134">
        <f t="shared" si="15"/>
        <v>44335</v>
      </c>
      <c r="AE35" s="6" t="str">
        <f t="shared" si="16"/>
        <v>BW</v>
      </c>
      <c r="AF35" s="13"/>
      <c r="AG35" s="13"/>
      <c r="AH35" s="13">
        <f t="shared" si="28"/>
        <v>0</v>
      </c>
      <c r="AJ35" s="6" t="str">
        <f t="shared" si="17"/>
        <v>4/29/21 - 5/12/21</v>
      </c>
      <c r="AK35" s="134">
        <f t="shared" si="18"/>
        <v>44335</v>
      </c>
      <c r="AL35" s="6" t="str">
        <f t="shared" si="19"/>
        <v>BW</v>
      </c>
      <c r="AM35" s="13"/>
      <c r="AN35" s="13"/>
      <c r="AO35" s="13">
        <f t="shared" si="29"/>
        <v>0</v>
      </c>
    </row>
    <row r="36" spans="1:41" x14ac:dyDescent="0.3">
      <c r="A36" s="6" t="s">
        <v>843</v>
      </c>
      <c r="B36" s="134">
        <v>44349</v>
      </c>
      <c r="C36" s="6" t="s">
        <v>20</v>
      </c>
      <c r="D36" s="13">
        <v>2468.0500000000002</v>
      </c>
      <c r="E36" s="13">
        <v>695.75</v>
      </c>
      <c r="F36" s="13">
        <f t="shared" si="30"/>
        <v>3163.8</v>
      </c>
      <c r="H36" s="6" t="str">
        <f t="shared" si="5"/>
        <v>5/13/21 - 5/26/21</v>
      </c>
      <c r="I36" s="134">
        <f t="shared" si="6"/>
        <v>44349</v>
      </c>
      <c r="J36" s="6" t="str">
        <f t="shared" si="7"/>
        <v>BW</v>
      </c>
      <c r="K36" s="13"/>
      <c r="L36" s="13"/>
      <c r="M36" s="13">
        <f t="shared" si="31"/>
        <v>0</v>
      </c>
      <c r="O36" s="6" t="str">
        <f t="shared" si="8"/>
        <v>5/13/21 - 5/26/21</v>
      </c>
      <c r="P36" s="134">
        <f t="shared" si="9"/>
        <v>44349</v>
      </c>
      <c r="Q36" s="6" t="str">
        <f t="shared" si="10"/>
        <v>BW</v>
      </c>
      <c r="R36" s="13"/>
      <c r="S36" s="13"/>
      <c r="T36" s="13">
        <f t="shared" si="32"/>
        <v>0</v>
      </c>
      <c r="V36" s="6" t="str">
        <f t="shared" si="11"/>
        <v>5/13/21 - 5/26/21</v>
      </c>
      <c r="W36" s="134">
        <f t="shared" si="12"/>
        <v>44349</v>
      </c>
      <c r="X36" s="6" t="str">
        <f t="shared" si="13"/>
        <v>BW</v>
      </c>
      <c r="Y36" s="13">
        <v>58.13</v>
      </c>
      <c r="Z36" s="13">
        <v>18.63</v>
      </c>
      <c r="AA36" s="13">
        <f t="shared" si="27"/>
        <v>76.760000000000005</v>
      </c>
      <c r="AC36" s="6" t="str">
        <f t="shared" si="14"/>
        <v>5/13/21 - 5/26/21</v>
      </c>
      <c r="AD36" s="134">
        <f t="shared" si="15"/>
        <v>44349</v>
      </c>
      <c r="AE36" s="6" t="str">
        <f t="shared" si="16"/>
        <v>BW</v>
      </c>
      <c r="AF36" s="13"/>
      <c r="AG36" s="13"/>
      <c r="AH36" s="13">
        <f t="shared" si="28"/>
        <v>0</v>
      </c>
      <c r="AJ36" s="6" t="str">
        <f t="shared" si="17"/>
        <v>5/13/21 - 5/26/21</v>
      </c>
      <c r="AK36" s="134">
        <f t="shared" si="18"/>
        <v>44349</v>
      </c>
      <c r="AL36" s="6" t="str">
        <f t="shared" si="19"/>
        <v>BW</v>
      </c>
      <c r="AM36" s="13"/>
      <c r="AN36" s="13"/>
      <c r="AO36" s="13">
        <f t="shared" si="29"/>
        <v>0</v>
      </c>
    </row>
    <row r="37" spans="1:41" x14ac:dyDescent="0.3">
      <c r="A37" s="6" t="s">
        <v>850</v>
      </c>
      <c r="B37" s="134">
        <v>44350</v>
      </c>
      <c r="C37" s="6" t="s">
        <v>21</v>
      </c>
      <c r="D37" s="13"/>
      <c r="E37" s="13"/>
      <c r="F37" s="13">
        <f t="shared" si="30"/>
        <v>0</v>
      </c>
      <c r="H37" s="6" t="str">
        <f t="shared" si="5"/>
        <v>5/13/21 - 5/27/21</v>
      </c>
      <c r="I37" s="134">
        <f t="shared" si="6"/>
        <v>44350</v>
      </c>
      <c r="J37" s="6" t="str">
        <f t="shared" si="7"/>
        <v>Fire</v>
      </c>
      <c r="K37" s="13"/>
      <c r="L37" s="13"/>
      <c r="M37" s="13">
        <f t="shared" si="31"/>
        <v>0</v>
      </c>
      <c r="O37" s="6" t="str">
        <f t="shared" si="8"/>
        <v>5/13/21 - 5/27/21</v>
      </c>
      <c r="P37" s="134">
        <f t="shared" si="9"/>
        <v>44350</v>
      </c>
      <c r="Q37" s="6" t="str">
        <f t="shared" si="10"/>
        <v>Fire</v>
      </c>
      <c r="R37" s="13"/>
      <c r="S37" s="13"/>
      <c r="T37" s="13">
        <f t="shared" si="32"/>
        <v>0</v>
      </c>
      <c r="V37" s="6" t="str">
        <f t="shared" si="11"/>
        <v>5/13/21 - 5/27/21</v>
      </c>
      <c r="W37" s="134">
        <f t="shared" si="12"/>
        <v>44350</v>
      </c>
      <c r="X37" s="6" t="str">
        <f t="shared" si="13"/>
        <v>Fire</v>
      </c>
      <c r="Y37" s="13"/>
      <c r="Z37" s="13"/>
      <c r="AA37" s="13">
        <f t="shared" si="27"/>
        <v>0</v>
      </c>
      <c r="AC37" s="6" t="str">
        <f t="shared" si="14"/>
        <v>5/13/21 - 5/27/21</v>
      </c>
      <c r="AD37" s="134">
        <f t="shared" si="15"/>
        <v>44350</v>
      </c>
      <c r="AE37" s="6" t="str">
        <f t="shared" si="16"/>
        <v>Fire</v>
      </c>
      <c r="AF37" s="13"/>
      <c r="AG37" s="13"/>
      <c r="AH37" s="13">
        <f t="shared" si="28"/>
        <v>0</v>
      </c>
      <c r="AJ37" s="6" t="str">
        <f t="shared" si="17"/>
        <v>5/13/21 - 5/27/21</v>
      </c>
      <c r="AK37" s="134">
        <f t="shared" si="18"/>
        <v>44350</v>
      </c>
      <c r="AL37" s="6" t="str">
        <f t="shared" si="19"/>
        <v>Fire</v>
      </c>
      <c r="AM37" s="13"/>
      <c r="AN37" s="13"/>
      <c r="AO37" s="13">
        <f t="shared" si="29"/>
        <v>0</v>
      </c>
    </row>
    <row r="38" spans="1:41" x14ac:dyDescent="0.3">
      <c r="A38" s="6" t="s">
        <v>844</v>
      </c>
      <c r="B38" s="134">
        <v>44363</v>
      </c>
      <c r="C38" s="6" t="s">
        <v>20</v>
      </c>
      <c r="D38" s="13">
        <v>1693.08</v>
      </c>
      <c r="E38" s="13">
        <v>533.46</v>
      </c>
      <c r="F38" s="13">
        <f t="shared" si="24"/>
        <v>2226.54</v>
      </c>
      <c r="H38" s="6" t="str">
        <f t="shared" ref="H38:H48" si="33">A38</f>
        <v>5/27/21 - 6/9/21</v>
      </c>
      <c r="I38" s="134">
        <f t="shared" ref="I38:I48" si="34">B38</f>
        <v>44363</v>
      </c>
      <c r="J38" s="6" t="str">
        <f t="shared" ref="J38:J48" si="35">C38</f>
        <v>BW</v>
      </c>
      <c r="K38" s="13"/>
      <c r="L38" s="13"/>
      <c r="M38" s="13">
        <f t="shared" si="25"/>
        <v>0</v>
      </c>
      <c r="O38" s="6" t="str">
        <f t="shared" ref="O38:O48" si="36">A38</f>
        <v>5/27/21 - 6/9/21</v>
      </c>
      <c r="P38" s="134">
        <f t="shared" ref="P38:P48" si="37">B38</f>
        <v>44363</v>
      </c>
      <c r="Q38" s="6" t="str">
        <f t="shared" ref="Q38:Q48" si="38">C38</f>
        <v>BW</v>
      </c>
      <c r="R38" s="13"/>
      <c r="S38" s="13"/>
      <c r="T38" s="13">
        <f t="shared" si="26"/>
        <v>0</v>
      </c>
      <c r="V38" s="6" t="str">
        <f t="shared" si="11"/>
        <v>5/27/21 - 6/9/21</v>
      </c>
      <c r="W38" s="134">
        <f t="shared" si="12"/>
        <v>44363</v>
      </c>
      <c r="X38" s="6" t="str">
        <f t="shared" si="13"/>
        <v>BW</v>
      </c>
      <c r="Y38" s="13">
        <v>546.87</v>
      </c>
      <c r="Z38" s="13">
        <v>138.34</v>
      </c>
      <c r="AA38" s="13">
        <f t="shared" si="27"/>
        <v>685.21</v>
      </c>
      <c r="AC38" s="6" t="str">
        <f t="shared" si="14"/>
        <v>5/27/21 - 6/9/21</v>
      </c>
      <c r="AD38" s="134">
        <f t="shared" si="15"/>
        <v>44363</v>
      </c>
      <c r="AE38" s="6" t="str">
        <f t="shared" si="16"/>
        <v>BW</v>
      </c>
      <c r="AF38" s="13"/>
      <c r="AG38" s="13"/>
      <c r="AH38" s="13">
        <f t="shared" si="28"/>
        <v>0</v>
      </c>
      <c r="AJ38" s="6" t="str">
        <f t="shared" si="17"/>
        <v>5/27/21 - 6/9/21</v>
      </c>
      <c r="AK38" s="134">
        <f t="shared" si="18"/>
        <v>44363</v>
      </c>
      <c r="AL38" s="6" t="str">
        <f t="shared" si="19"/>
        <v>BW</v>
      </c>
      <c r="AM38" s="13"/>
      <c r="AN38" s="13"/>
      <c r="AO38" s="13">
        <f t="shared" si="29"/>
        <v>0</v>
      </c>
    </row>
    <row r="39" spans="1:41" x14ac:dyDescent="0.3">
      <c r="A39" s="6" t="s">
        <v>851</v>
      </c>
      <c r="B39" s="134">
        <v>44365</v>
      </c>
      <c r="C39" s="6" t="s">
        <v>21</v>
      </c>
      <c r="D39" s="13"/>
      <c r="E39" s="13"/>
      <c r="F39" s="13">
        <f t="shared" si="24"/>
        <v>0</v>
      </c>
      <c r="H39" s="6" t="str">
        <f t="shared" si="33"/>
        <v>5/28/21 - 6/11/21</v>
      </c>
      <c r="I39" s="134">
        <f t="shared" si="34"/>
        <v>44365</v>
      </c>
      <c r="J39" s="6" t="str">
        <f t="shared" si="35"/>
        <v>Fire</v>
      </c>
      <c r="K39" s="13"/>
      <c r="L39" s="13"/>
      <c r="M39" s="13">
        <f t="shared" si="25"/>
        <v>0</v>
      </c>
      <c r="O39" s="6" t="str">
        <f t="shared" si="36"/>
        <v>5/28/21 - 6/11/21</v>
      </c>
      <c r="P39" s="134">
        <f t="shared" si="37"/>
        <v>44365</v>
      </c>
      <c r="Q39" s="6" t="str">
        <f t="shared" si="38"/>
        <v>Fire</v>
      </c>
      <c r="R39" s="13"/>
      <c r="S39" s="13"/>
      <c r="T39" s="13">
        <f t="shared" si="26"/>
        <v>0</v>
      </c>
      <c r="V39" s="6" t="str">
        <f t="shared" si="11"/>
        <v>5/28/21 - 6/11/21</v>
      </c>
      <c r="W39" s="134">
        <f t="shared" si="12"/>
        <v>44365</v>
      </c>
      <c r="X39" s="6" t="str">
        <f t="shared" si="13"/>
        <v>Fire</v>
      </c>
      <c r="Y39" s="13"/>
      <c r="Z39" s="13"/>
      <c r="AA39" s="13">
        <f t="shared" si="27"/>
        <v>0</v>
      </c>
      <c r="AC39" s="6" t="str">
        <f t="shared" si="14"/>
        <v>5/28/21 - 6/11/21</v>
      </c>
      <c r="AD39" s="134">
        <f t="shared" si="15"/>
        <v>44365</v>
      </c>
      <c r="AE39" s="6" t="str">
        <f t="shared" si="16"/>
        <v>Fire</v>
      </c>
      <c r="AF39" s="13"/>
      <c r="AG39" s="13"/>
      <c r="AH39" s="13">
        <f t="shared" si="28"/>
        <v>0</v>
      </c>
      <c r="AJ39" s="6" t="str">
        <f t="shared" si="17"/>
        <v>5/28/21 - 6/11/21</v>
      </c>
      <c r="AK39" s="134">
        <f t="shared" si="18"/>
        <v>44365</v>
      </c>
      <c r="AL39" s="6" t="str">
        <f t="shared" si="19"/>
        <v>Fire</v>
      </c>
      <c r="AM39" s="13"/>
      <c r="AN39" s="13"/>
      <c r="AO39" s="13">
        <f t="shared" si="29"/>
        <v>0</v>
      </c>
    </row>
    <row r="40" spans="1:41" x14ac:dyDescent="0.3">
      <c r="A40" s="6" t="s">
        <v>845</v>
      </c>
      <c r="B40" s="134">
        <v>44377</v>
      </c>
      <c r="C40" s="6" t="s">
        <v>20</v>
      </c>
      <c r="D40" s="13">
        <v>1362.58</v>
      </c>
      <c r="E40" s="13">
        <v>199.2</v>
      </c>
      <c r="F40" s="13">
        <f t="shared" si="24"/>
        <v>1561.78</v>
      </c>
      <c r="H40" s="6" t="str">
        <f t="shared" si="33"/>
        <v>6/10/21 - 6/23/21</v>
      </c>
      <c r="I40" s="134">
        <f t="shared" si="34"/>
        <v>44377</v>
      </c>
      <c r="J40" s="6" t="str">
        <f t="shared" si="35"/>
        <v>BW</v>
      </c>
      <c r="K40" s="13"/>
      <c r="L40" s="13"/>
      <c r="M40" s="13">
        <f t="shared" si="25"/>
        <v>0</v>
      </c>
      <c r="O40" s="6" t="str">
        <f t="shared" si="36"/>
        <v>6/10/21 - 6/23/21</v>
      </c>
      <c r="P40" s="134">
        <f t="shared" si="37"/>
        <v>44377</v>
      </c>
      <c r="Q40" s="6" t="str">
        <f t="shared" si="38"/>
        <v>BW</v>
      </c>
      <c r="R40" s="13"/>
      <c r="S40" s="13"/>
      <c r="T40" s="13">
        <f t="shared" si="26"/>
        <v>0</v>
      </c>
      <c r="V40" s="6" t="str">
        <f t="shared" si="11"/>
        <v>6/10/21 - 6/23/21</v>
      </c>
      <c r="W40" s="134">
        <f t="shared" si="12"/>
        <v>44377</v>
      </c>
      <c r="X40" s="6" t="str">
        <f t="shared" si="13"/>
        <v>BW</v>
      </c>
      <c r="Y40" s="13"/>
      <c r="Z40" s="13"/>
      <c r="AA40" s="13">
        <f t="shared" si="27"/>
        <v>0</v>
      </c>
      <c r="AC40" s="6" t="str">
        <f t="shared" si="14"/>
        <v>6/10/21 - 6/23/21</v>
      </c>
      <c r="AD40" s="134">
        <f t="shared" si="15"/>
        <v>44377</v>
      </c>
      <c r="AE40" s="6" t="str">
        <f t="shared" si="16"/>
        <v>BW</v>
      </c>
      <c r="AF40" s="13"/>
      <c r="AG40" s="13"/>
      <c r="AH40" s="13">
        <f t="shared" si="28"/>
        <v>0</v>
      </c>
      <c r="AJ40" s="6" t="str">
        <f t="shared" si="17"/>
        <v>6/10/21 - 6/23/21</v>
      </c>
      <c r="AK40" s="134">
        <f t="shared" si="18"/>
        <v>44377</v>
      </c>
      <c r="AL40" s="6" t="str">
        <f t="shared" si="19"/>
        <v>BW</v>
      </c>
      <c r="AM40" s="13"/>
      <c r="AN40" s="13"/>
      <c r="AO40" s="13">
        <f t="shared" si="29"/>
        <v>0</v>
      </c>
    </row>
    <row r="41" spans="1:41" x14ac:dyDescent="0.3">
      <c r="A41" s="6" t="s">
        <v>852</v>
      </c>
      <c r="B41" s="134">
        <v>44380</v>
      </c>
      <c r="C41" s="6" t="s">
        <v>21</v>
      </c>
      <c r="D41" s="13"/>
      <c r="E41" s="13"/>
      <c r="F41" s="13">
        <f t="shared" si="24"/>
        <v>0</v>
      </c>
      <c r="H41" s="6" t="str">
        <f t="shared" si="33"/>
        <v>6/12/21 - 6/26/21</v>
      </c>
      <c r="I41" s="134">
        <f t="shared" si="34"/>
        <v>44380</v>
      </c>
      <c r="J41" s="6" t="str">
        <f t="shared" si="35"/>
        <v>Fire</v>
      </c>
      <c r="K41" s="13"/>
      <c r="L41" s="13"/>
      <c r="M41" s="13">
        <f t="shared" si="25"/>
        <v>0</v>
      </c>
      <c r="O41" s="6" t="str">
        <f t="shared" si="36"/>
        <v>6/12/21 - 6/26/21</v>
      </c>
      <c r="P41" s="134">
        <f t="shared" si="37"/>
        <v>44380</v>
      </c>
      <c r="Q41" s="6" t="str">
        <f t="shared" si="38"/>
        <v>Fire</v>
      </c>
      <c r="R41" s="13"/>
      <c r="S41" s="13"/>
      <c r="T41" s="13">
        <f t="shared" si="26"/>
        <v>0</v>
      </c>
      <c r="V41" s="6" t="str">
        <f t="shared" si="11"/>
        <v>6/12/21 - 6/26/21</v>
      </c>
      <c r="W41" s="134">
        <f t="shared" si="12"/>
        <v>44380</v>
      </c>
      <c r="X41" s="6" t="str">
        <f t="shared" si="13"/>
        <v>Fire</v>
      </c>
      <c r="Y41" s="13"/>
      <c r="Z41" s="13"/>
      <c r="AA41" s="13">
        <f t="shared" si="27"/>
        <v>0</v>
      </c>
      <c r="AC41" s="6" t="str">
        <f t="shared" si="14"/>
        <v>6/12/21 - 6/26/21</v>
      </c>
      <c r="AD41" s="134">
        <f t="shared" si="15"/>
        <v>44380</v>
      </c>
      <c r="AE41" s="6" t="str">
        <f t="shared" si="16"/>
        <v>Fire</v>
      </c>
      <c r="AF41" s="13"/>
      <c r="AG41" s="13"/>
      <c r="AH41" s="13">
        <f t="shared" si="28"/>
        <v>0</v>
      </c>
      <c r="AJ41" s="6" t="str">
        <f t="shared" si="17"/>
        <v>6/12/21 - 6/26/21</v>
      </c>
      <c r="AK41" s="134">
        <f t="shared" si="18"/>
        <v>44380</v>
      </c>
      <c r="AL41" s="6" t="str">
        <f t="shared" si="19"/>
        <v>Fire</v>
      </c>
      <c r="AM41" s="13"/>
      <c r="AN41" s="13"/>
      <c r="AO41" s="13">
        <f t="shared" si="29"/>
        <v>0</v>
      </c>
    </row>
    <row r="42" spans="1:41" x14ac:dyDescent="0.3">
      <c r="A42" s="6" t="s">
        <v>846</v>
      </c>
      <c r="B42" s="134">
        <v>44391</v>
      </c>
      <c r="C42" s="6" t="s">
        <v>20</v>
      </c>
      <c r="D42" s="13">
        <v>1718.83</v>
      </c>
      <c r="E42" s="13">
        <v>547.62</v>
      </c>
      <c r="F42" s="13">
        <f t="shared" si="24"/>
        <v>2266.4499999999998</v>
      </c>
      <c r="H42" s="6" t="str">
        <f t="shared" si="33"/>
        <v>6/24/21 - 7/7/21</v>
      </c>
      <c r="I42" s="134">
        <f t="shared" si="34"/>
        <v>44391</v>
      </c>
      <c r="J42" s="6" t="str">
        <f t="shared" si="35"/>
        <v>BW</v>
      </c>
      <c r="K42" s="13"/>
      <c r="L42" s="13"/>
      <c r="M42" s="13">
        <f t="shared" si="25"/>
        <v>0</v>
      </c>
      <c r="O42" s="6" t="str">
        <f t="shared" si="36"/>
        <v>6/24/21 - 7/7/21</v>
      </c>
      <c r="P42" s="134">
        <f t="shared" si="37"/>
        <v>44391</v>
      </c>
      <c r="Q42" s="6" t="str">
        <f t="shared" si="38"/>
        <v>BW</v>
      </c>
      <c r="R42" s="13"/>
      <c r="S42" s="13"/>
      <c r="T42" s="13">
        <f t="shared" si="26"/>
        <v>0</v>
      </c>
      <c r="V42" s="6" t="str">
        <f t="shared" si="11"/>
        <v>6/24/21 - 7/7/21</v>
      </c>
      <c r="W42" s="134">
        <f t="shared" si="12"/>
        <v>44391</v>
      </c>
      <c r="X42" s="6" t="str">
        <f t="shared" si="13"/>
        <v>BW</v>
      </c>
      <c r="Y42" s="13"/>
      <c r="Z42" s="13"/>
      <c r="AA42" s="13">
        <f t="shared" si="27"/>
        <v>0</v>
      </c>
      <c r="AC42" s="6" t="str">
        <f t="shared" si="14"/>
        <v>6/24/21 - 7/7/21</v>
      </c>
      <c r="AD42" s="134">
        <f t="shared" si="15"/>
        <v>44391</v>
      </c>
      <c r="AE42" s="6" t="str">
        <f t="shared" si="16"/>
        <v>BW</v>
      </c>
      <c r="AF42" s="13"/>
      <c r="AG42" s="13"/>
      <c r="AH42" s="13">
        <f t="shared" si="28"/>
        <v>0</v>
      </c>
      <c r="AJ42" s="6" t="str">
        <f t="shared" si="17"/>
        <v>6/24/21 - 7/7/21</v>
      </c>
      <c r="AK42" s="134">
        <f t="shared" si="18"/>
        <v>44391</v>
      </c>
      <c r="AL42" s="6" t="str">
        <f t="shared" si="19"/>
        <v>BW</v>
      </c>
      <c r="AM42" s="13"/>
      <c r="AN42" s="13"/>
      <c r="AO42" s="13">
        <f t="shared" si="29"/>
        <v>0</v>
      </c>
    </row>
    <row r="43" spans="1:41" x14ac:dyDescent="0.3">
      <c r="A43" s="6" t="s">
        <v>853</v>
      </c>
      <c r="B43" s="134">
        <v>44395</v>
      </c>
      <c r="C43" s="6" t="s">
        <v>21</v>
      </c>
      <c r="D43" s="13"/>
      <c r="E43" s="13"/>
      <c r="F43" s="13">
        <f t="shared" si="24"/>
        <v>0</v>
      </c>
      <c r="H43" s="6" t="str">
        <f t="shared" si="33"/>
        <v>6/27/21 - 7/11/21</v>
      </c>
      <c r="I43" s="134">
        <f t="shared" si="34"/>
        <v>44395</v>
      </c>
      <c r="J43" s="6" t="str">
        <f t="shared" si="35"/>
        <v>Fire</v>
      </c>
      <c r="K43" s="13"/>
      <c r="L43" s="13"/>
      <c r="M43" s="13">
        <f t="shared" si="25"/>
        <v>0</v>
      </c>
      <c r="O43" s="6" t="str">
        <f t="shared" si="36"/>
        <v>6/27/21 - 7/11/21</v>
      </c>
      <c r="P43" s="134">
        <f t="shared" si="37"/>
        <v>44395</v>
      </c>
      <c r="Q43" s="6" t="str">
        <f t="shared" si="38"/>
        <v>Fire</v>
      </c>
      <c r="R43" s="13"/>
      <c r="S43" s="13"/>
      <c r="T43" s="13">
        <f t="shared" si="26"/>
        <v>0</v>
      </c>
      <c r="V43" s="6" t="str">
        <f t="shared" si="11"/>
        <v>6/27/21 - 7/11/21</v>
      </c>
      <c r="W43" s="134">
        <f t="shared" si="12"/>
        <v>44395</v>
      </c>
      <c r="X43" s="6" t="str">
        <f t="shared" si="13"/>
        <v>Fire</v>
      </c>
      <c r="Y43" s="13"/>
      <c r="Z43" s="13"/>
      <c r="AA43" s="13">
        <f t="shared" si="27"/>
        <v>0</v>
      </c>
      <c r="AC43" s="6" t="str">
        <f t="shared" si="14"/>
        <v>6/27/21 - 7/11/21</v>
      </c>
      <c r="AD43" s="134">
        <f t="shared" si="15"/>
        <v>44395</v>
      </c>
      <c r="AE43" s="6" t="str">
        <f t="shared" si="16"/>
        <v>Fire</v>
      </c>
      <c r="AF43" s="13"/>
      <c r="AG43" s="13"/>
      <c r="AH43" s="13">
        <f t="shared" si="28"/>
        <v>0</v>
      </c>
      <c r="AJ43" s="6" t="str">
        <f t="shared" si="17"/>
        <v>6/27/21 - 7/11/21</v>
      </c>
      <c r="AK43" s="134">
        <f t="shared" si="18"/>
        <v>44395</v>
      </c>
      <c r="AL43" s="6" t="str">
        <f t="shared" si="19"/>
        <v>Fire</v>
      </c>
      <c r="AM43" s="13"/>
      <c r="AN43" s="13"/>
      <c r="AO43" s="13">
        <f t="shared" si="29"/>
        <v>0</v>
      </c>
    </row>
    <row r="44" spans="1:41" x14ac:dyDescent="0.3">
      <c r="A44" s="6" t="s">
        <v>847</v>
      </c>
      <c r="B44" s="134">
        <v>44405</v>
      </c>
      <c r="C44" s="6" t="s">
        <v>20</v>
      </c>
      <c r="D44" s="13">
        <v>1788.69</v>
      </c>
      <c r="E44" s="13">
        <v>558.45000000000005</v>
      </c>
      <c r="F44" s="13">
        <f t="shared" ref="F44:F48" si="39">SUM(D44:E44)</f>
        <v>2347.1400000000003</v>
      </c>
      <c r="H44" s="6" t="str">
        <f t="shared" ref="H44:H47" si="40">A44</f>
        <v>7/8/21 - 7/21/21</v>
      </c>
      <c r="I44" s="134">
        <f t="shared" ref="I44:I47" si="41">B44</f>
        <v>44405</v>
      </c>
      <c r="J44" s="6" t="str">
        <f t="shared" ref="J44:J47" si="42">C44</f>
        <v>BW</v>
      </c>
      <c r="K44" s="13"/>
      <c r="L44" s="13"/>
      <c r="M44" s="13">
        <f t="shared" ref="M44:M47" si="43">SUM(K44:L44)</f>
        <v>0</v>
      </c>
      <c r="O44" s="6" t="str">
        <f t="shared" ref="O44:O47" si="44">A44</f>
        <v>7/8/21 - 7/21/21</v>
      </c>
      <c r="P44" s="134">
        <f t="shared" ref="P44:P47" si="45">B44</f>
        <v>44405</v>
      </c>
      <c r="Q44" s="6" t="str">
        <f t="shared" ref="Q44:Q47" si="46">C44</f>
        <v>BW</v>
      </c>
      <c r="R44" s="13"/>
      <c r="S44" s="13"/>
      <c r="T44" s="13">
        <f t="shared" ref="T44:T47" si="47">SUM(R44:S44)</f>
        <v>0</v>
      </c>
      <c r="V44" s="6" t="str">
        <f t="shared" si="11"/>
        <v>7/8/21 - 7/21/21</v>
      </c>
      <c r="W44" s="134">
        <f t="shared" si="12"/>
        <v>44405</v>
      </c>
      <c r="X44" s="6" t="str">
        <f t="shared" si="13"/>
        <v>BW</v>
      </c>
      <c r="Y44" s="13">
        <v>192.23</v>
      </c>
      <c r="Z44" s="13">
        <v>51.86</v>
      </c>
      <c r="AA44" s="13">
        <f t="shared" si="27"/>
        <v>244.08999999999997</v>
      </c>
      <c r="AC44" s="6" t="str">
        <f t="shared" si="14"/>
        <v>7/8/21 - 7/21/21</v>
      </c>
      <c r="AD44" s="134">
        <f t="shared" si="15"/>
        <v>44405</v>
      </c>
      <c r="AE44" s="6" t="str">
        <f t="shared" si="16"/>
        <v>BW</v>
      </c>
      <c r="AF44" s="13"/>
      <c r="AG44" s="13"/>
      <c r="AH44" s="13">
        <f t="shared" si="28"/>
        <v>0</v>
      </c>
      <c r="AJ44" s="6" t="str">
        <f t="shared" si="17"/>
        <v>7/8/21 - 7/21/21</v>
      </c>
      <c r="AK44" s="134">
        <f t="shared" si="18"/>
        <v>44405</v>
      </c>
      <c r="AL44" s="6" t="str">
        <f t="shared" si="19"/>
        <v>BW</v>
      </c>
      <c r="AM44" s="13"/>
      <c r="AN44" s="13"/>
      <c r="AO44" s="13">
        <f t="shared" si="29"/>
        <v>0</v>
      </c>
    </row>
    <row r="45" spans="1:41" x14ac:dyDescent="0.3">
      <c r="A45" s="6" t="s">
        <v>854</v>
      </c>
      <c r="B45" s="134">
        <v>44410</v>
      </c>
      <c r="C45" s="6" t="s">
        <v>21</v>
      </c>
      <c r="D45" s="13"/>
      <c r="E45" s="13"/>
      <c r="F45" s="13">
        <f t="shared" si="39"/>
        <v>0</v>
      </c>
      <c r="H45" s="6" t="str">
        <f t="shared" si="40"/>
        <v>7/12/21 - 7/26/21</v>
      </c>
      <c r="I45" s="134">
        <f t="shared" si="41"/>
        <v>44410</v>
      </c>
      <c r="J45" s="6" t="str">
        <f t="shared" si="42"/>
        <v>Fire</v>
      </c>
      <c r="K45" s="13"/>
      <c r="L45" s="13"/>
      <c r="M45" s="13">
        <f t="shared" si="43"/>
        <v>0</v>
      </c>
      <c r="O45" s="6" t="str">
        <f t="shared" si="44"/>
        <v>7/12/21 - 7/26/21</v>
      </c>
      <c r="P45" s="134">
        <f t="shared" si="45"/>
        <v>44410</v>
      </c>
      <c r="Q45" s="6" t="str">
        <f t="shared" si="46"/>
        <v>Fire</v>
      </c>
      <c r="R45" s="13"/>
      <c r="S45" s="13"/>
      <c r="T45" s="13">
        <f t="shared" si="47"/>
        <v>0</v>
      </c>
      <c r="V45" s="6" t="str">
        <f t="shared" si="11"/>
        <v>7/12/21 - 7/26/21</v>
      </c>
      <c r="W45" s="134">
        <f t="shared" si="12"/>
        <v>44410</v>
      </c>
      <c r="X45" s="6" t="str">
        <f t="shared" si="13"/>
        <v>Fire</v>
      </c>
      <c r="Y45" s="13"/>
      <c r="Z45" s="13"/>
      <c r="AA45" s="13">
        <f t="shared" si="27"/>
        <v>0</v>
      </c>
      <c r="AC45" s="6" t="str">
        <f t="shared" si="14"/>
        <v>7/12/21 - 7/26/21</v>
      </c>
      <c r="AD45" s="134">
        <f t="shared" si="15"/>
        <v>44410</v>
      </c>
      <c r="AE45" s="6" t="str">
        <f t="shared" si="16"/>
        <v>Fire</v>
      </c>
      <c r="AF45" s="13"/>
      <c r="AG45" s="13"/>
      <c r="AH45" s="13">
        <f t="shared" si="28"/>
        <v>0</v>
      </c>
      <c r="AJ45" s="6" t="str">
        <f t="shared" si="17"/>
        <v>7/12/21 - 7/26/21</v>
      </c>
      <c r="AK45" s="134">
        <f t="shared" si="18"/>
        <v>44410</v>
      </c>
      <c r="AL45" s="6" t="str">
        <f t="shared" si="19"/>
        <v>Fire</v>
      </c>
      <c r="AM45" s="13"/>
      <c r="AN45" s="13"/>
      <c r="AO45" s="13">
        <f t="shared" si="29"/>
        <v>0</v>
      </c>
    </row>
    <row r="46" spans="1:41" x14ac:dyDescent="0.3">
      <c r="A46" s="6" t="s">
        <v>848</v>
      </c>
      <c r="B46" s="134">
        <v>44419</v>
      </c>
      <c r="C46" s="6" t="s">
        <v>20</v>
      </c>
      <c r="D46" s="13">
        <v>1033.46</v>
      </c>
      <c r="E46" s="13">
        <v>360.14</v>
      </c>
      <c r="F46" s="13">
        <f t="shared" si="39"/>
        <v>1393.6</v>
      </c>
      <c r="H46" s="6" t="str">
        <f t="shared" si="40"/>
        <v>7/22/21 - 8/4/21</v>
      </c>
      <c r="I46" s="134">
        <f t="shared" si="41"/>
        <v>44419</v>
      </c>
      <c r="J46" s="6" t="str">
        <f t="shared" si="42"/>
        <v>BW</v>
      </c>
      <c r="K46" s="13"/>
      <c r="L46" s="13"/>
      <c r="M46" s="13">
        <f t="shared" si="43"/>
        <v>0</v>
      </c>
      <c r="O46" s="6" t="str">
        <f t="shared" si="44"/>
        <v>7/22/21 - 8/4/21</v>
      </c>
      <c r="P46" s="134">
        <f t="shared" si="45"/>
        <v>44419</v>
      </c>
      <c r="Q46" s="6" t="str">
        <f t="shared" si="46"/>
        <v>BW</v>
      </c>
      <c r="R46" s="13"/>
      <c r="S46" s="13"/>
      <c r="T46" s="13">
        <f t="shared" si="47"/>
        <v>0</v>
      </c>
      <c r="V46" s="6" t="str">
        <f t="shared" si="11"/>
        <v>7/22/21 - 8/4/21</v>
      </c>
      <c r="W46" s="134">
        <f t="shared" si="12"/>
        <v>44419</v>
      </c>
      <c r="X46" s="6" t="str">
        <f t="shared" si="13"/>
        <v>BW</v>
      </c>
      <c r="Y46" s="13"/>
      <c r="Z46" s="13"/>
      <c r="AA46" s="13">
        <f t="shared" si="27"/>
        <v>0</v>
      </c>
      <c r="AC46" s="6" t="str">
        <f t="shared" si="14"/>
        <v>7/22/21 - 8/4/21</v>
      </c>
      <c r="AD46" s="134">
        <f t="shared" si="15"/>
        <v>44419</v>
      </c>
      <c r="AE46" s="6" t="str">
        <f t="shared" si="16"/>
        <v>BW</v>
      </c>
      <c r="AF46" s="13"/>
      <c r="AG46" s="13"/>
      <c r="AH46" s="13">
        <f t="shared" si="28"/>
        <v>0</v>
      </c>
      <c r="AJ46" s="6" t="str">
        <f t="shared" si="17"/>
        <v>7/22/21 - 8/4/21</v>
      </c>
      <c r="AK46" s="134">
        <f t="shared" si="18"/>
        <v>44419</v>
      </c>
      <c r="AL46" s="6" t="str">
        <f t="shared" si="19"/>
        <v>BW</v>
      </c>
      <c r="AM46" s="13"/>
      <c r="AN46" s="13"/>
      <c r="AO46" s="13">
        <f t="shared" si="29"/>
        <v>0</v>
      </c>
    </row>
    <row r="47" spans="1:41" x14ac:dyDescent="0.3">
      <c r="A47" s="6" t="s">
        <v>855</v>
      </c>
      <c r="B47" s="134">
        <v>44425</v>
      </c>
      <c r="C47" s="6" t="s">
        <v>21</v>
      </c>
      <c r="D47" s="13"/>
      <c r="E47" s="13"/>
      <c r="F47" s="13">
        <f t="shared" si="39"/>
        <v>0</v>
      </c>
      <c r="H47" s="6" t="str">
        <f t="shared" si="40"/>
        <v>7/27/21 - 8/10/21</v>
      </c>
      <c r="I47" s="134">
        <f t="shared" si="41"/>
        <v>44425</v>
      </c>
      <c r="J47" s="6" t="str">
        <f t="shared" si="42"/>
        <v>Fire</v>
      </c>
      <c r="K47" s="13"/>
      <c r="L47" s="13"/>
      <c r="M47" s="13">
        <f t="shared" si="43"/>
        <v>0</v>
      </c>
      <c r="O47" s="6" t="str">
        <f t="shared" si="44"/>
        <v>7/27/21 - 8/10/21</v>
      </c>
      <c r="P47" s="134">
        <f t="shared" si="45"/>
        <v>44425</v>
      </c>
      <c r="Q47" s="6" t="str">
        <f t="shared" si="46"/>
        <v>Fire</v>
      </c>
      <c r="R47" s="13"/>
      <c r="S47" s="13"/>
      <c r="T47" s="13">
        <f t="shared" si="47"/>
        <v>0</v>
      </c>
      <c r="V47" s="6" t="str">
        <f t="shared" si="11"/>
        <v>7/27/21 - 8/10/21</v>
      </c>
      <c r="W47" s="134">
        <f t="shared" si="12"/>
        <v>44425</v>
      </c>
      <c r="X47" s="6" t="str">
        <f t="shared" si="13"/>
        <v>Fire</v>
      </c>
      <c r="Y47" s="13"/>
      <c r="Z47" s="13"/>
      <c r="AA47" s="13">
        <f t="shared" si="27"/>
        <v>0</v>
      </c>
      <c r="AC47" s="6" t="str">
        <f t="shared" si="14"/>
        <v>7/27/21 - 8/10/21</v>
      </c>
      <c r="AD47" s="134">
        <f t="shared" si="15"/>
        <v>44425</v>
      </c>
      <c r="AE47" s="6" t="str">
        <f t="shared" si="16"/>
        <v>Fire</v>
      </c>
      <c r="AF47" s="13"/>
      <c r="AG47" s="13"/>
      <c r="AH47" s="13">
        <f t="shared" si="28"/>
        <v>0</v>
      </c>
      <c r="AJ47" s="6" t="str">
        <f t="shared" si="17"/>
        <v>7/27/21 - 8/10/21</v>
      </c>
      <c r="AK47" s="134">
        <f t="shared" si="18"/>
        <v>44425</v>
      </c>
      <c r="AL47" s="6" t="str">
        <f t="shared" si="19"/>
        <v>Fire</v>
      </c>
      <c r="AM47" s="13"/>
      <c r="AN47" s="13"/>
      <c r="AO47" s="13">
        <f t="shared" si="29"/>
        <v>0</v>
      </c>
    </row>
    <row r="48" spans="1:41" x14ac:dyDescent="0.3">
      <c r="A48" s="6" t="s">
        <v>849</v>
      </c>
      <c r="B48" s="134">
        <v>40780</v>
      </c>
      <c r="C48" s="6" t="s">
        <v>20</v>
      </c>
      <c r="D48" s="13">
        <v>1033.46</v>
      </c>
      <c r="E48" s="13">
        <v>360.14</v>
      </c>
      <c r="F48" s="13">
        <f t="shared" si="39"/>
        <v>1393.6</v>
      </c>
      <c r="H48" s="6" t="str">
        <f t="shared" si="33"/>
        <v>8/5/21 - 8/18/21</v>
      </c>
      <c r="I48" s="134">
        <f t="shared" si="34"/>
        <v>40780</v>
      </c>
      <c r="J48" s="6" t="str">
        <f t="shared" si="35"/>
        <v>BW</v>
      </c>
      <c r="K48" s="13"/>
      <c r="L48" s="13"/>
      <c r="M48" s="13">
        <f t="shared" si="25"/>
        <v>0</v>
      </c>
      <c r="O48" s="6" t="str">
        <f t="shared" si="36"/>
        <v>8/5/21 - 8/18/21</v>
      </c>
      <c r="P48" s="134">
        <f t="shared" si="37"/>
        <v>40780</v>
      </c>
      <c r="Q48" s="6" t="str">
        <f t="shared" si="38"/>
        <v>BW</v>
      </c>
      <c r="R48" s="13"/>
      <c r="S48" s="13"/>
      <c r="T48" s="13">
        <f t="shared" si="26"/>
        <v>0</v>
      </c>
      <c r="V48" s="6" t="str">
        <f t="shared" si="11"/>
        <v>8/5/21 - 8/18/21</v>
      </c>
      <c r="W48" s="134">
        <f t="shared" si="12"/>
        <v>40780</v>
      </c>
      <c r="X48" s="6" t="str">
        <f t="shared" si="13"/>
        <v>BW</v>
      </c>
      <c r="Y48" s="13"/>
      <c r="Z48" s="13"/>
      <c r="AA48" s="13">
        <f t="shared" si="27"/>
        <v>0</v>
      </c>
      <c r="AC48" s="6" t="str">
        <f t="shared" si="14"/>
        <v>8/5/21 - 8/18/21</v>
      </c>
      <c r="AD48" s="134">
        <f t="shared" si="15"/>
        <v>40780</v>
      </c>
      <c r="AE48" s="6" t="str">
        <f t="shared" si="16"/>
        <v>BW</v>
      </c>
      <c r="AF48" s="13"/>
      <c r="AG48" s="13"/>
      <c r="AH48" s="13">
        <f t="shared" si="28"/>
        <v>0</v>
      </c>
      <c r="AJ48" s="6" t="str">
        <f t="shared" si="17"/>
        <v>8/5/21 - 8/18/21</v>
      </c>
      <c r="AK48" s="134">
        <f t="shared" si="18"/>
        <v>40780</v>
      </c>
      <c r="AL48" s="6" t="str">
        <f t="shared" si="19"/>
        <v>BW</v>
      </c>
      <c r="AM48" s="13"/>
      <c r="AN48" s="13"/>
      <c r="AO48" s="13">
        <f t="shared" si="29"/>
        <v>0</v>
      </c>
    </row>
    <row r="49" spans="1:41" x14ac:dyDescent="0.3">
      <c r="A49" s="6" t="s">
        <v>856</v>
      </c>
      <c r="B49" s="134">
        <v>44440</v>
      </c>
      <c r="C49" s="6" t="s">
        <v>21</v>
      </c>
      <c r="D49" s="13"/>
      <c r="E49" s="13"/>
      <c r="F49" s="13">
        <f t="shared" ref="F49:F57" si="48">SUM(D49:E49)</f>
        <v>0</v>
      </c>
      <c r="H49" s="6" t="str">
        <f t="shared" si="5"/>
        <v>8/11/21 - 8/25/21</v>
      </c>
      <c r="I49" s="134">
        <f t="shared" si="6"/>
        <v>44440</v>
      </c>
      <c r="J49" s="6" t="str">
        <f t="shared" si="7"/>
        <v>Fire</v>
      </c>
      <c r="K49" s="13"/>
      <c r="L49" s="13"/>
      <c r="M49" s="13">
        <f t="shared" ref="M49:M57" si="49">SUM(K49:L49)</f>
        <v>0</v>
      </c>
      <c r="O49" s="6" t="str">
        <f t="shared" si="8"/>
        <v>8/11/21 - 8/25/21</v>
      </c>
      <c r="P49" s="134">
        <f t="shared" si="9"/>
        <v>44440</v>
      </c>
      <c r="Q49" s="6" t="str">
        <f t="shared" si="10"/>
        <v>Fire</v>
      </c>
      <c r="R49" s="13"/>
      <c r="S49" s="13"/>
      <c r="T49" s="13">
        <f t="shared" ref="T49:T57" si="50">SUM(R49:S49)</f>
        <v>0</v>
      </c>
      <c r="V49" s="6" t="str">
        <f t="shared" si="11"/>
        <v>8/11/21 - 8/25/21</v>
      </c>
      <c r="W49" s="134">
        <f t="shared" si="12"/>
        <v>44440</v>
      </c>
      <c r="X49" s="6" t="str">
        <f t="shared" si="13"/>
        <v>Fire</v>
      </c>
      <c r="Y49" s="13"/>
      <c r="Z49" s="13"/>
      <c r="AA49" s="13">
        <f t="shared" si="27"/>
        <v>0</v>
      </c>
      <c r="AC49" s="6" t="str">
        <f t="shared" si="14"/>
        <v>8/11/21 - 8/25/21</v>
      </c>
      <c r="AD49" s="134">
        <f t="shared" si="15"/>
        <v>44440</v>
      </c>
      <c r="AE49" s="6" t="str">
        <f t="shared" si="16"/>
        <v>Fire</v>
      </c>
      <c r="AF49" s="13"/>
      <c r="AG49" s="13"/>
      <c r="AH49" s="13">
        <f t="shared" si="28"/>
        <v>0</v>
      </c>
      <c r="AJ49" s="6" t="str">
        <f t="shared" si="17"/>
        <v>8/11/21 - 8/25/21</v>
      </c>
      <c r="AK49" s="134">
        <f t="shared" si="18"/>
        <v>44440</v>
      </c>
      <c r="AL49" s="6" t="str">
        <f t="shared" si="19"/>
        <v>Fire</v>
      </c>
      <c r="AM49" s="13"/>
      <c r="AN49" s="13"/>
      <c r="AO49" s="13">
        <f t="shared" si="29"/>
        <v>0</v>
      </c>
    </row>
    <row r="50" spans="1:41" x14ac:dyDescent="0.3">
      <c r="A50" s="6" t="s">
        <v>857</v>
      </c>
      <c r="B50" s="134">
        <v>44812</v>
      </c>
      <c r="C50" s="6" t="s">
        <v>20</v>
      </c>
      <c r="D50" s="13">
        <v>1033.46</v>
      </c>
      <c r="E50" s="13">
        <v>360.14</v>
      </c>
      <c r="F50" s="13">
        <f t="shared" ref="F50:F51" si="51">SUM(D50:E50)</f>
        <v>1393.6</v>
      </c>
      <c r="H50" s="6" t="str">
        <f t="shared" ref="H50:H51" si="52">A50</f>
        <v>8/19/21 - 9/1/21</v>
      </c>
      <c r="I50" s="134">
        <f t="shared" ref="I50:I51" si="53">B50</f>
        <v>44812</v>
      </c>
      <c r="J50" s="6" t="str">
        <f t="shared" ref="J50:J51" si="54">C50</f>
        <v>BW</v>
      </c>
      <c r="K50" s="13"/>
      <c r="L50" s="13"/>
      <c r="M50" s="13">
        <f t="shared" ref="M50:M51" si="55">SUM(K50:L50)</f>
        <v>0</v>
      </c>
      <c r="O50" s="6" t="str">
        <f t="shared" ref="O50:O51" si="56">A50</f>
        <v>8/19/21 - 9/1/21</v>
      </c>
      <c r="P50" s="134">
        <f t="shared" ref="P50:P51" si="57">B50</f>
        <v>44812</v>
      </c>
      <c r="Q50" s="6" t="str">
        <f t="shared" ref="Q50:Q51" si="58">C50</f>
        <v>BW</v>
      </c>
      <c r="R50" s="13"/>
      <c r="S50" s="13"/>
      <c r="T50" s="13">
        <f t="shared" ref="T50:T51" si="59">SUM(R50:S50)</f>
        <v>0</v>
      </c>
      <c r="V50" s="6" t="str">
        <f t="shared" si="11"/>
        <v>8/19/21 - 9/1/21</v>
      </c>
      <c r="W50" s="134">
        <f t="shared" si="12"/>
        <v>44812</v>
      </c>
      <c r="X50" s="6" t="str">
        <f t="shared" si="13"/>
        <v>BW</v>
      </c>
      <c r="Y50" s="13"/>
      <c r="Z50" s="13"/>
      <c r="AA50" s="13">
        <f t="shared" si="27"/>
        <v>0</v>
      </c>
      <c r="AC50" s="6" t="str">
        <f t="shared" si="14"/>
        <v>8/19/21 - 9/1/21</v>
      </c>
      <c r="AD50" s="134">
        <f t="shared" si="15"/>
        <v>44812</v>
      </c>
      <c r="AE50" s="6" t="str">
        <f t="shared" si="16"/>
        <v>BW</v>
      </c>
      <c r="AF50" s="13"/>
      <c r="AG50" s="13"/>
      <c r="AH50" s="13">
        <f t="shared" si="28"/>
        <v>0</v>
      </c>
      <c r="AJ50" s="6" t="str">
        <f t="shared" si="17"/>
        <v>8/19/21 - 9/1/21</v>
      </c>
      <c r="AK50" s="134">
        <f t="shared" si="18"/>
        <v>44812</v>
      </c>
      <c r="AL50" s="6" t="str">
        <f t="shared" si="19"/>
        <v>BW</v>
      </c>
      <c r="AM50" s="13"/>
      <c r="AN50" s="13"/>
      <c r="AO50" s="13">
        <f t="shared" si="29"/>
        <v>0</v>
      </c>
    </row>
    <row r="51" spans="1:41" x14ac:dyDescent="0.3">
      <c r="A51" s="6" t="s">
        <v>861</v>
      </c>
      <c r="B51" s="134">
        <v>44455</v>
      </c>
      <c r="C51" s="6" t="s">
        <v>21</v>
      </c>
      <c r="D51" s="13"/>
      <c r="E51" s="13"/>
      <c r="F51" s="13">
        <f t="shared" si="51"/>
        <v>0</v>
      </c>
      <c r="H51" s="6" t="str">
        <f t="shared" si="52"/>
        <v>8/26/21 - 9/9/21</v>
      </c>
      <c r="I51" s="134">
        <f t="shared" si="53"/>
        <v>44455</v>
      </c>
      <c r="J51" s="6" t="str">
        <f t="shared" si="54"/>
        <v>Fire</v>
      </c>
      <c r="K51" s="13"/>
      <c r="L51" s="13"/>
      <c r="M51" s="13">
        <f t="shared" si="55"/>
        <v>0</v>
      </c>
      <c r="O51" s="6" t="str">
        <f t="shared" si="56"/>
        <v>8/26/21 - 9/9/21</v>
      </c>
      <c r="P51" s="134">
        <f t="shared" si="57"/>
        <v>44455</v>
      </c>
      <c r="Q51" s="6" t="str">
        <f t="shared" si="58"/>
        <v>Fire</v>
      </c>
      <c r="R51" s="13"/>
      <c r="S51" s="13"/>
      <c r="T51" s="13">
        <f t="shared" si="59"/>
        <v>0</v>
      </c>
      <c r="V51" s="6" t="str">
        <f t="shared" si="11"/>
        <v>8/26/21 - 9/9/21</v>
      </c>
      <c r="W51" s="134">
        <f t="shared" si="12"/>
        <v>44455</v>
      </c>
      <c r="X51" s="6" t="str">
        <f t="shared" si="13"/>
        <v>Fire</v>
      </c>
      <c r="Y51" s="13"/>
      <c r="Z51" s="13"/>
      <c r="AA51" s="13">
        <f t="shared" si="27"/>
        <v>0</v>
      </c>
      <c r="AC51" s="6" t="str">
        <f t="shared" si="14"/>
        <v>8/26/21 - 9/9/21</v>
      </c>
      <c r="AD51" s="134">
        <f t="shared" si="15"/>
        <v>44455</v>
      </c>
      <c r="AE51" s="6" t="str">
        <f t="shared" si="16"/>
        <v>Fire</v>
      </c>
      <c r="AF51" s="13"/>
      <c r="AG51" s="13"/>
      <c r="AH51" s="13">
        <f t="shared" si="28"/>
        <v>0</v>
      </c>
      <c r="AJ51" s="6" t="str">
        <f t="shared" si="17"/>
        <v>8/26/21 - 9/9/21</v>
      </c>
      <c r="AK51" s="134">
        <f t="shared" si="18"/>
        <v>44455</v>
      </c>
      <c r="AL51" s="6" t="str">
        <f t="shared" si="19"/>
        <v>Fire</v>
      </c>
      <c r="AM51" s="13"/>
      <c r="AN51" s="13"/>
      <c r="AO51" s="13">
        <f t="shared" si="29"/>
        <v>0</v>
      </c>
    </row>
    <row r="52" spans="1:41" x14ac:dyDescent="0.3">
      <c r="A52" s="6" t="s">
        <v>858</v>
      </c>
      <c r="B52" s="134">
        <v>44461</v>
      </c>
      <c r="C52" s="6" t="s">
        <v>20</v>
      </c>
      <c r="D52" s="13">
        <v>1033.46</v>
      </c>
      <c r="E52" s="13">
        <v>360.14</v>
      </c>
      <c r="F52" s="13">
        <f t="shared" si="48"/>
        <v>1393.6</v>
      </c>
      <c r="H52" s="6" t="str">
        <f t="shared" si="5"/>
        <v>9/2/21 - 9/15/21</v>
      </c>
      <c r="I52" s="134">
        <f t="shared" si="6"/>
        <v>44461</v>
      </c>
      <c r="J52" s="6" t="str">
        <f t="shared" si="7"/>
        <v>BW</v>
      </c>
      <c r="K52" s="13"/>
      <c r="L52" s="13"/>
      <c r="M52" s="13">
        <f t="shared" si="49"/>
        <v>0</v>
      </c>
      <c r="O52" s="6" t="str">
        <f t="shared" si="8"/>
        <v>9/2/21 - 9/15/21</v>
      </c>
      <c r="P52" s="134">
        <f t="shared" si="9"/>
        <v>44461</v>
      </c>
      <c r="Q52" s="6" t="str">
        <f t="shared" si="10"/>
        <v>BW</v>
      </c>
      <c r="R52" s="13"/>
      <c r="S52" s="13"/>
      <c r="T52" s="13">
        <f t="shared" si="50"/>
        <v>0</v>
      </c>
      <c r="V52" s="6" t="str">
        <f t="shared" si="11"/>
        <v>9/2/21 - 9/15/21</v>
      </c>
      <c r="W52" s="134">
        <f t="shared" si="12"/>
        <v>44461</v>
      </c>
      <c r="X52" s="6" t="str">
        <f t="shared" si="13"/>
        <v>BW</v>
      </c>
      <c r="Y52" s="13"/>
      <c r="Z52" s="13"/>
      <c r="AA52" s="13">
        <f t="shared" si="27"/>
        <v>0</v>
      </c>
      <c r="AC52" s="6" t="str">
        <f t="shared" si="14"/>
        <v>9/2/21 - 9/15/21</v>
      </c>
      <c r="AD52" s="134">
        <f t="shared" si="15"/>
        <v>44461</v>
      </c>
      <c r="AE52" s="6" t="str">
        <f t="shared" si="16"/>
        <v>BW</v>
      </c>
      <c r="AF52" s="13"/>
      <c r="AG52" s="13"/>
      <c r="AH52" s="13">
        <f t="shared" si="28"/>
        <v>0</v>
      </c>
      <c r="AJ52" s="6" t="str">
        <f t="shared" si="17"/>
        <v>9/2/21 - 9/15/21</v>
      </c>
      <c r="AK52" s="134">
        <f t="shared" si="18"/>
        <v>44461</v>
      </c>
      <c r="AL52" s="6" t="str">
        <f t="shared" si="19"/>
        <v>BW</v>
      </c>
      <c r="AM52" s="13"/>
      <c r="AN52" s="13"/>
      <c r="AO52" s="13">
        <f t="shared" si="29"/>
        <v>0</v>
      </c>
    </row>
    <row r="53" spans="1:41" x14ac:dyDescent="0.3">
      <c r="A53" s="6" t="s">
        <v>862</v>
      </c>
      <c r="B53" s="134">
        <v>44470</v>
      </c>
      <c r="C53" s="6" t="s">
        <v>21</v>
      </c>
      <c r="D53" s="13"/>
      <c r="E53" s="13"/>
      <c r="F53" s="13">
        <f t="shared" si="48"/>
        <v>0</v>
      </c>
      <c r="H53" s="6" t="str">
        <f t="shared" si="5"/>
        <v>9/10/21 - 9/24/21</v>
      </c>
      <c r="I53" s="134">
        <f t="shared" si="6"/>
        <v>44470</v>
      </c>
      <c r="J53" s="6" t="str">
        <f t="shared" si="7"/>
        <v>Fire</v>
      </c>
      <c r="K53" s="13"/>
      <c r="L53" s="13"/>
      <c r="M53" s="13">
        <f t="shared" si="49"/>
        <v>0</v>
      </c>
      <c r="O53" s="6" t="str">
        <f t="shared" si="8"/>
        <v>9/10/21 - 9/24/21</v>
      </c>
      <c r="P53" s="134">
        <f t="shared" si="9"/>
        <v>44470</v>
      </c>
      <c r="Q53" s="6" t="str">
        <f t="shared" si="10"/>
        <v>Fire</v>
      </c>
      <c r="R53" s="13"/>
      <c r="S53" s="13"/>
      <c r="T53" s="13">
        <f t="shared" si="50"/>
        <v>0</v>
      </c>
      <c r="V53" s="6" t="str">
        <f t="shared" si="11"/>
        <v>9/10/21 - 9/24/21</v>
      </c>
      <c r="W53" s="134">
        <f t="shared" si="12"/>
        <v>44470</v>
      </c>
      <c r="X53" s="6" t="str">
        <f t="shared" si="13"/>
        <v>Fire</v>
      </c>
      <c r="Y53" s="13"/>
      <c r="Z53" s="13"/>
      <c r="AA53" s="13">
        <f t="shared" si="27"/>
        <v>0</v>
      </c>
      <c r="AC53" s="6" t="str">
        <f t="shared" si="14"/>
        <v>9/10/21 - 9/24/21</v>
      </c>
      <c r="AD53" s="134">
        <f t="shared" si="15"/>
        <v>44470</v>
      </c>
      <c r="AE53" s="6" t="str">
        <f t="shared" si="16"/>
        <v>Fire</v>
      </c>
      <c r="AF53" s="13"/>
      <c r="AG53" s="13"/>
      <c r="AH53" s="13">
        <f t="shared" si="28"/>
        <v>0</v>
      </c>
      <c r="AJ53" s="6" t="str">
        <f t="shared" si="17"/>
        <v>9/10/21 - 9/24/21</v>
      </c>
      <c r="AK53" s="134">
        <f t="shared" si="18"/>
        <v>44470</v>
      </c>
      <c r="AL53" s="6" t="str">
        <f t="shared" si="19"/>
        <v>Fire</v>
      </c>
      <c r="AM53" s="13"/>
      <c r="AN53" s="13"/>
      <c r="AO53" s="13">
        <f t="shared" si="29"/>
        <v>0</v>
      </c>
    </row>
    <row r="54" spans="1:41" x14ac:dyDescent="0.3">
      <c r="A54" s="6" t="s">
        <v>859</v>
      </c>
      <c r="B54" s="134">
        <v>44475</v>
      </c>
      <c r="C54" s="6" t="s">
        <v>20</v>
      </c>
      <c r="D54" s="13">
        <v>1033.46</v>
      </c>
      <c r="E54" s="13">
        <v>360.36</v>
      </c>
      <c r="F54" s="13">
        <f t="shared" ref="F54:F55" si="60">SUM(D54:E54)</f>
        <v>1393.8200000000002</v>
      </c>
      <c r="H54" s="6" t="str">
        <f t="shared" ref="H54:H55" si="61">A54</f>
        <v>9/16/21 - 9/29/21</v>
      </c>
      <c r="I54" s="134">
        <f t="shared" ref="I54:I55" si="62">B54</f>
        <v>44475</v>
      </c>
      <c r="J54" s="6" t="str">
        <f t="shared" ref="J54:J55" si="63">C54</f>
        <v>BW</v>
      </c>
      <c r="K54" s="13"/>
      <c r="L54" s="13"/>
      <c r="M54" s="13">
        <f t="shared" ref="M54:M55" si="64">SUM(K54:L54)</f>
        <v>0</v>
      </c>
      <c r="O54" s="6" t="str">
        <f t="shared" ref="O54:O55" si="65">A54</f>
        <v>9/16/21 - 9/29/21</v>
      </c>
      <c r="P54" s="134">
        <f t="shared" ref="P54:P55" si="66">B54</f>
        <v>44475</v>
      </c>
      <c r="Q54" s="6" t="str">
        <f t="shared" ref="Q54:Q55" si="67">C54</f>
        <v>BW</v>
      </c>
      <c r="R54" s="13"/>
      <c r="S54" s="13"/>
      <c r="T54" s="13">
        <f t="shared" ref="T54:T55" si="68">SUM(R54:S54)</f>
        <v>0</v>
      </c>
      <c r="V54" s="6" t="str">
        <f t="shared" si="11"/>
        <v>9/16/21 - 9/29/21</v>
      </c>
      <c r="W54" s="134">
        <f t="shared" si="12"/>
        <v>44475</v>
      </c>
      <c r="X54" s="6" t="str">
        <f t="shared" si="13"/>
        <v>BW</v>
      </c>
      <c r="Y54" s="13"/>
      <c r="Z54" s="13"/>
      <c r="AA54" s="13">
        <f t="shared" si="27"/>
        <v>0</v>
      </c>
      <c r="AC54" s="6" t="str">
        <f t="shared" si="14"/>
        <v>9/16/21 - 9/29/21</v>
      </c>
      <c r="AD54" s="134">
        <f t="shared" si="15"/>
        <v>44475</v>
      </c>
      <c r="AE54" s="6" t="str">
        <f t="shared" si="16"/>
        <v>BW</v>
      </c>
      <c r="AF54" s="13"/>
      <c r="AG54" s="13"/>
      <c r="AH54" s="13">
        <f t="shared" si="28"/>
        <v>0</v>
      </c>
      <c r="AJ54" s="6" t="str">
        <f t="shared" si="17"/>
        <v>9/16/21 - 9/29/21</v>
      </c>
      <c r="AK54" s="134">
        <f t="shared" si="18"/>
        <v>44475</v>
      </c>
      <c r="AL54" s="6" t="str">
        <f t="shared" si="19"/>
        <v>BW</v>
      </c>
      <c r="AM54" s="13"/>
      <c r="AN54" s="13"/>
      <c r="AO54" s="13">
        <f t="shared" si="29"/>
        <v>0</v>
      </c>
    </row>
    <row r="55" spans="1:41" x14ac:dyDescent="0.3">
      <c r="A55" s="6" t="s">
        <v>863</v>
      </c>
      <c r="B55" s="134">
        <v>44485</v>
      </c>
      <c r="C55" s="6" t="s">
        <v>21</v>
      </c>
      <c r="D55" s="13"/>
      <c r="E55" s="13"/>
      <c r="F55" s="13">
        <f t="shared" si="60"/>
        <v>0</v>
      </c>
      <c r="H55" s="6" t="str">
        <f t="shared" si="61"/>
        <v>9/25-10/9/21 (5 days)</v>
      </c>
      <c r="I55" s="134">
        <f t="shared" si="62"/>
        <v>44485</v>
      </c>
      <c r="J55" s="6" t="str">
        <f t="shared" si="63"/>
        <v>Fire</v>
      </c>
      <c r="K55" s="13"/>
      <c r="L55" s="13"/>
      <c r="M55" s="13">
        <f t="shared" si="64"/>
        <v>0</v>
      </c>
      <c r="O55" s="6" t="str">
        <f t="shared" si="65"/>
        <v>9/25-10/9/21 (5 days)</v>
      </c>
      <c r="P55" s="134">
        <f t="shared" si="66"/>
        <v>44485</v>
      </c>
      <c r="Q55" s="6" t="str">
        <f t="shared" si="67"/>
        <v>Fire</v>
      </c>
      <c r="R55" s="13"/>
      <c r="S55" s="13"/>
      <c r="T55" s="13">
        <f t="shared" si="68"/>
        <v>0</v>
      </c>
      <c r="V55" s="6" t="str">
        <f t="shared" si="11"/>
        <v>9/25-10/9/21 (5 days)</v>
      </c>
      <c r="W55" s="134">
        <f t="shared" si="12"/>
        <v>44485</v>
      </c>
      <c r="X55" s="6" t="str">
        <f t="shared" si="13"/>
        <v>Fire</v>
      </c>
      <c r="Y55" s="13"/>
      <c r="Z55" s="13"/>
      <c r="AA55" s="13">
        <f t="shared" si="27"/>
        <v>0</v>
      </c>
      <c r="AC55" s="6" t="str">
        <f t="shared" si="14"/>
        <v>9/25-10/9/21 (5 days)</v>
      </c>
      <c r="AD55" s="134">
        <f t="shared" si="15"/>
        <v>44485</v>
      </c>
      <c r="AE55" s="6" t="str">
        <f t="shared" si="16"/>
        <v>Fire</v>
      </c>
      <c r="AF55" s="13"/>
      <c r="AG55" s="13"/>
      <c r="AH55" s="13">
        <f t="shared" si="28"/>
        <v>0</v>
      </c>
      <c r="AJ55" s="6" t="str">
        <f t="shared" si="17"/>
        <v>9/25-10/9/21 (5 days)</v>
      </c>
      <c r="AK55" s="134">
        <f t="shared" si="18"/>
        <v>44485</v>
      </c>
      <c r="AL55" s="6" t="str">
        <f t="shared" si="19"/>
        <v>Fire</v>
      </c>
      <c r="AM55" s="13"/>
      <c r="AN55" s="13"/>
      <c r="AO55" s="13">
        <f t="shared" si="29"/>
        <v>0</v>
      </c>
    </row>
    <row r="56" spans="1:41" x14ac:dyDescent="0.3">
      <c r="A56" s="6" t="s">
        <v>860</v>
      </c>
      <c r="B56" s="134">
        <v>44489</v>
      </c>
      <c r="C56" s="6" t="s">
        <v>20</v>
      </c>
      <c r="D56" s="13"/>
      <c r="E56" s="13"/>
      <c r="F56" s="13">
        <f t="shared" si="48"/>
        <v>0</v>
      </c>
      <c r="H56" s="6" t="str">
        <f t="shared" si="5"/>
        <v>9/30-10/13/21(1 day)</v>
      </c>
      <c r="I56" s="134">
        <f t="shared" si="6"/>
        <v>44489</v>
      </c>
      <c r="J56" s="6" t="str">
        <f t="shared" si="7"/>
        <v>BW</v>
      </c>
      <c r="K56" s="13"/>
      <c r="L56" s="13"/>
      <c r="M56" s="13">
        <f t="shared" si="49"/>
        <v>0</v>
      </c>
      <c r="O56" s="6" t="str">
        <f t="shared" si="8"/>
        <v>9/30-10/13/21(1 day)</v>
      </c>
      <c r="P56" s="134">
        <f t="shared" si="9"/>
        <v>44489</v>
      </c>
      <c r="Q56" s="6" t="str">
        <f t="shared" si="10"/>
        <v>BW</v>
      </c>
      <c r="R56" s="13"/>
      <c r="S56" s="13"/>
      <c r="T56" s="13">
        <f t="shared" si="50"/>
        <v>0</v>
      </c>
      <c r="V56" s="6" t="str">
        <f t="shared" si="11"/>
        <v>9/30-10/13/21(1 day)</v>
      </c>
      <c r="W56" s="134">
        <f t="shared" si="12"/>
        <v>44489</v>
      </c>
      <c r="X56" s="6" t="str">
        <f t="shared" si="13"/>
        <v>BW</v>
      </c>
      <c r="Y56" s="13"/>
      <c r="Z56" s="13"/>
      <c r="AA56" s="13">
        <f t="shared" si="27"/>
        <v>0</v>
      </c>
      <c r="AC56" s="6" t="s">
        <v>860</v>
      </c>
      <c r="AD56" s="134">
        <v>44489</v>
      </c>
      <c r="AE56" s="6" t="s">
        <v>20</v>
      </c>
      <c r="AF56" s="13"/>
      <c r="AG56" s="13"/>
      <c r="AH56" s="13">
        <f t="shared" si="28"/>
        <v>0</v>
      </c>
      <c r="AJ56" s="6" t="str">
        <f t="shared" si="17"/>
        <v>9/30-10/13/21(1 day)</v>
      </c>
      <c r="AK56" s="134">
        <f t="shared" si="18"/>
        <v>44489</v>
      </c>
      <c r="AL56" s="6" t="str">
        <f t="shared" si="19"/>
        <v>BW</v>
      </c>
      <c r="AM56" s="13">
        <v>303.98</v>
      </c>
      <c r="AN56" s="13">
        <v>113.9</v>
      </c>
      <c r="AO56" s="13">
        <f t="shared" si="29"/>
        <v>417.88</v>
      </c>
    </row>
    <row r="57" spans="1:41" x14ac:dyDescent="0.3">
      <c r="A57" s="6"/>
      <c r="B57" s="134"/>
      <c r="C57" s="6"/>
      <c r="D57" s="13"/>
      <c r="E57" s="13"/>
      <c r="F57" s="13">
        <f t="shared" si="48"/>
        <v>0</v>
      </c>
      <c r="H57" s="6">
        <f t="shared" si="5"/>
        <v>0</v>
      </c>
      <c r="I57" s="134">
        <f t="shared" si="6"/>
        <v>0</v>
      </c>
      <c r="J57" s="6">
        <f t="shared" si="7"/>
        <v>0</v>
      </c>
      <c r="K57" s="13"/>
      <c r="L57" s="13"/>
      <c r="M57" s="13">
        <f t="shared" si="49"/>
        <v>0</v>
      </c>
      <c r="O57" s="6">
        <f t="shared" si="8"/>
        <v>0</v>
      </c>
      <c r="P57" s="134">
        <f t="shared" si="9"/>
        <v>0</v>
      </c>
      <c r="Q57" s="6">
        <f t="shared" si="10"/>
        <v>0</v>
      </c>
      <c r="R57" s="13"/>
      <c r="S57" s="13"/>
      <c r="T57" s="13">
        <f t="shared" si="50"/>
        <v>0</v>
      </c>
      <c r="V57" s="6">
        <f t="shared" si="11"/>
        <v>0</v>
      </c>
      <c r="W57" s="134">
        <f t="shared" si="12"/>
        <v>0</v>
      </c>
      <c r="X57" s="6">
        <f t="shared" si="13"/>
        <v>0</v>
      </c>
      <c r="Y57" s="13"/>
      <c r="Z57" s="13"/>
      <c r="AA57" s="13">
        <f t="shared" si="27"/>
        <v>0</v>
      </c>
      <c r="AC57" s="6">
        <f t="shared" si="14"/>
        <v>0</v>
      </c>
      <c r="AD57" s="134">
        <f t="shared" si="15"/>
        <v>0</v>
      </c>
      <c r="AE57" s="6">
        <f t="shared" si="16"/>
        <v>0</v>
      </c>
      <c r="AF57" s="13"/>
      <c r="AG57" s="13"/>
      <c r="AH57" s="13">
        <f t="shared" si="28"/>
        <v>0</v>
      </c>
      <c r="AJ57" s="6">
        <f t="shared" si="17"/>
        <v>0</v>
      </c>
      <c r="AK57" s="134">
        <f t="shared" si="18"/>
        <v>0</v>
      </c>
      <c r="AL57" s="6">
        <f t="shared" si="19"/>
        <v>0</v>
      </c>
      <c r="AM57" s="13"/>
      <c r="AN57" s="13"/>
      <c r="AO57" s="13">
        <f t="shared" si="29"/>
        <v>0</v>
      </c>
    </row>
    <row r="58" spans="1:41" x14ac:dyDescent="0.3">
      <c r="A58" s="6"/>
      <c r="B58" s="134"/>
      <c r="C58" s="6"/>
      <c r="D58" s="13"/>
      <c r="E58" s="13"/>
      <c r="F58" s="13">
        <f t="shared" si="20"/>
        <v>0</v>
      </c>
      <c r="H58" s="6">
        <f t="shared" si="5"/>
        <v>0</v>
      </c>
      <c r="I58" s="134">
        <f t="shared" si="6"/>
        <v>0</v>
      </c>
      <c r="J58" s="6">
        <f t="shared" si="7"/>
        <v>0</v>
      </c>
      <c r="K58" s="13"/>
      <c r="L58" s="13"/>
      <c r="M58" s="13">
        <f t="shared" si="21"/>
        <v>0</v>
      </c>
      <c r="O58" s="6">
        <f t="shared" si="8"/>
        <v>0</v>
      </c>
      <c r="P58" s="134">
        <f t="shared" si="9"/>
        <v>0</v>
      </c>
      <c r="Q58" s="6">
        <f t="shared" si="10"/>
        <v>0</v>
      </c>
      <c r="R58" s="13"/>
      <c r="S58" s="13"/>
      <c r="T58" s="13">
        <f t="shared" si="1"/>
        <v>0</v>
      </c>
      <c r="V58" s="6">
        <f t="shared" si="11"/>
        <v>0</v>
      </c>
      <c r="W58" s="134">
        <f t="shared" si="12"/>
        <v>0</v>
      </c>
      <c r="X58" s="6">
        <f t="shared" si="13"/>
        <v>0</v>
      </c>
      <c r="Y58" s="13"/>
      <c r="Z58" s="13"/>
      <c r="AA58" s="13">
        <f t="shared" ref="AA58" si="69">SUM(Y58:Z58)</f>
        <v>0</v>
      </c>
      <c r="AC58" s="6">
        <f t="shared" si="14"/>
        <v>0</v>
      </c>
      <c r="AD58" s="134">
        <f t="shared" si="15"/>
        <v>0</v>
      </c>
      <c r="AE58" s="6">
        <f t="shared" si="16"/>
        <v>0</v>
      </c>
      <c r="AF58" s="13"/>
      <c r="AG58" s="13"/>
      <c r="AH58" s="13">
        <f t="shared" si="28"/>
        <v>0</v>
      </c>
      <c r="AJ58" s="6">
        <f t="shared" si="17"/>
        <v>0</v>
      </c>
      <c r="AK58" s="134">
        <f t="shared" si="18"/>
        <v>0</v>
      </c>
      <c r="AL58" s="6">
        <f t="shared" si="19"/>
        <v>0</v>
      </c>
      <c r="AM58" s="13"/>
      <c r="AN58" s="13"/>
      <c r="AO58" s="13">
        <f t="shared" si="29"/>
        <v>0</v>
      </c>
    </row>
    <row r="59" spans="1:41" x14ac:dyDescent="0.3">
      <c r="D59" s="9">
        <f>SUM(D5:D58)</f>
        <v>114007.91000000005</v>
      </c>
      <c r="E59" s="9">
        <f>SUM(E5:E58)</f>
        <v>30138.57</v>
      </c>
      <c r="F59" s="9">
        <f>SUM(F5:F58)</f>
        <v>144146.48000000007</v>
      </c>
      <c r="K59" s="9">
        <f>SUM(K5:K58)</f>
        <v>0</v>
      </c>
      <c r="L59" s="9">
        <f>SUM(L5:L58)</f>
        <v>0</v>
      </c>
      <c r="M59" s="9">
        <f>SUM(M5:M58)</f>
        <v>0</v>
      </c>
      <c r="R59" s="9">
        <f>SUM(R5:R58)</f>
        <v>0</v>
      </c>
      <c r="S59" s="9">
        <f>SUM(S5:S58)</f>
        <v>0</v>
      </c>
      <c r="T59" s="9">
        <f>SUM(T5:T58)</f>
        <v>0</v>
      </c>
      <c r="Y59" s="9">
        <f>SUM(Y5:Y58)</f>
        <v>81586.709999999992</v>
      </c>
      <c r="Z59" s="9">
        <f>SUM(Z5:Z58)</f>
        <v>24486.989999999998</v>
      </c>
      <c r="AA59" s="9">
        <f>SUM(AA5:AA58)</f>
        <v>106073.7</v>
      </c>
      <c r="AF59" s="9">
        <f>SUM(AF5:AF58)</f>
        <v>0</v>
      </c>
      <c r="AG59" s="9">
        <f>SUM(AG5:AG58)</f>
        <v>0</v>
      </c>
      <c r="AH59" s="9">
        <f>SUM(AH5:AH58)</f>
        <v>0</v>
      </c>
      <c r="AM59" s="9">
        <f>SUM(AM5:AM58)</f>
        <v>303.98</v>
      </c>
      <c r="AN59" s="9">
        <f>SUM(AN5:AN58)</f>
        <v>113.9</v>
      </c>
      <c r="AO59" s="9">
        <f>SUM(AO5:AO58)</f>
        <v>417.88</v>
      </c>
    </row>
    <row r="60" spans="1:41" x14ac:dyDescent="0.3">
      <c r="F60" s="9"/>
      <c r="J60" s="145"/>
      <c r="K60" s="16"/>
      <c r="L60" s="16"/>
      <c r="M60" s="16"/>
      <c r="N60" s="144"/>
      <c r="Q60" s="145"/>
      <c r="R60" s="16"/>
      <c r="S60" s="16"/>
      <c r="T60" s="16"/>
      <c r="U60" s="144"/>
      <c r="X60" s="145"/>
      <c r="Y60" s="16"/>
      <c r="Z60" s="16"/>
      <c r="AA60" s="16"/>
      <c r="AB60" s="144"/>
      <c r="AE60" s="145"/>
      <c r="AF60" s="16"/>
      <c r="AG60" s="16"/>
      <c r="AH60" s="16"/>
      <c r="AI60" s="144"/>
      <c r="AL60" s="145"/>
      <c r="AM60" s="16"/>
      <c r="AN60" s="16"/>
      <c r="AO60" s="16"/>
    </row>
    <row r="61" spans="1:41" x14ac:dyDescent="0.3">
      <c r="D61" s="184" t="s">
        <v>778</v>
      </c>
      <c r="E61" s="184"/>
      <c r="F61" s="184"/>
      <c r="J61" s="145"/>
      <c r="K61" s="16"/>
      <c r="L61" s="16"/>
      <c r="M61" s="16"/>
      <c r="N61" s="144"/>
      <c r="Q61" s="145"/>
      <c r="R61" s="16"/>
      <c r="S61" s="16"/>
      <c r="T61" s="16"/>
      <c r="U61" s="144"/>
      <c r="X61" s="145"/>
      <c r="Y61" s="16"/>
      <c r="Z61" s="16"/>
      <c r="AA61" s="16"/>
      <c r="AB61" s="144"/>
      <c r="AE61" s="145"/>
      <c r="AF61" s="16"/>
      <c r="AG61" s="16"/>
      <c r="AH61" s="16"/>
      <c r="AI61" s="144"/>
      <c r="AL61" s="145"/>
      <c r="AM61" s="16"/>
      <c r="AN61" s="16"/>
      <c r="AO61" s="16"/>
    </row>
    <row r="62" spans="1:41" ht="15" thickBot="1" x14ac:dyDescent="0.35">
      <c r="D62" s="14">
        <f>D59+K63+R63+Y63+AF63+AM63</f>
        <v>195898.60000000006</v>
      </c>
      <c r="E62" s="14">
        <f>E59+L63+S63+Z63+AG63+AN63</f>
        <v>54739.46</v>
      </c>
      <c r="F62" s="14">
        <f>F59+M63+T63+AA63+AH63+AO63</f>
        <v>250638.06000000006</v>
      </c>
      <c r="J62" s="145"/>
      <c r="K62" s="16"/>
      <c r="L62" s="16"/>
      <c r="M62" s="16"/>
      <c r="N62" s="144"/>
    </row>
    <row r="63" spans="1:41" ht="15" thickBot="1" x14ac:dyDescent="0.35">
      <c r="C63" s="47" t="s">
        <v>28</v>
      </c>
      <c r="D63" s="9">
        <v>195898.6</v>
      </c>
      <c r="E63" s="9">
        <v>54739.46</v>
      </c>
      <c r="F63" s="9">
        <f>D63+E63</f>
        <v>250638.06</v>
      </c>
      <c r="K63" s="146">
        <f>SUM(K59:K62)</f>
        <v>0</v>
      </c>
      <c r="L63" s="146">
        <f t="shared" ref="L63:M63" si="70">SUM(L59:L62)</f>
        <v>0</v>
      </c>
      <c r="M63" s="146">
        <f t="shared" si="70"/>
        <v>0</v>
      </c>
      <c r="R63" s="146">
        <f>SUM(R59:R62)</f>
        <v>0</v>
      </c>
      <c r="S63" s="146">
        <f t="shared" ref="S63:T63" si="71">SUM(S59:S62)</f>
        <v>0</v>
      </c>
      <c r="T63" s="146">
        <f t="shared" si="71"/>
        <v>0</v>
      </c>
      <c r="Y63" s="146">
        <f>SUM(Y59:Y62)</f>
        <v>81586.709999999992</v>
      </c>
      <c r="Z63" s="146">
        <f t="shared" ref="Z63:AA63" si="72">SUM(Z59:Z62)</f>
        <v>24486.989999999998</v>
      </c>
      <c r="AA63" s="146">
        <f t="shared" si="72"/>
        <v>106073.7</v>
      </c>
      <c r="AF63" s="146">
        <f>SUM(AF59:AF62)</f>
        <v>0</v>
      </c>
      <c r="AG63" s="146">
        <f t="shared" ref="AG63:AH63" si="73">SUM(AG59:AG62)</f>
        <v>0</v>
      </c>
      <c r="AH63" s="146">
        <f t="shared" si="73"/>
        <v>0</v>
      </c>
      <c r="AM63" s="146">
        <f>SUM(AM59:AM62)</f>
        <v>303.98</v>
      </c>
      <c r="AN63" s="146">
        <f t="shared" ref="AN63:AO63" si="74">SUM(AN59:AN62)</f>
        <v>113.9</v>
      </c>
      <c r="AO63" s="146">
        <f t="shared" si="74"/>
        <v>417.88</v>
      </c>
    </row>
    <row r="64" spans="1:41" x14ac:dyDescent="0.3">
      <c r="D64" s="9">
        <f>D62-D63</f>
        <v>0</v>
      </c>
      <c r="E64" s="9">
        <f>E62-E63</f>
        <v>0</v>
      </c>
      <c r="F64" s="9">
        <f>F62-F63</f>
        <v>0</v>
      </c>
    </row>
  </sheetData>
  <mergeCells count="13">
    <mergeCell ref="AJ1:AO1"/>
    <mergeCell ref="AJ3:AL3"/>
    <mergeCell ref="AC1:AH1"/>
    <mergeCell ref="AC3:AE3"/>
    <mergeCell ref="V1:AA1"/>
    <mergeCell ref="V3:X3"/>
    <mergeCell ref="D61:F61"/>
    <mergeCell ref="A1:F1"/>
    <mergeCell ref="H1:M1"/>
    <mergeCell ref="O1:T1"/>
    <mergeCell ref="A3:C3"/>
    <mergeCell ref="H3:J3"/>
    <mergeCell ref="O3:Q3"/>
  </mergeCells>
  <pageMargins left="0.7" right="0.7" top="0.75" bottom="0.75" header="0.3" footer="0.3"/>
  <pageSetup scale="27" orientation="portrait" r:id="rId1"/>
  <headerFooter>
    <oddFooter>&amp;C&amp;Z&amp;F</oddFooter>
  </headerFooter>
  <ignoredErrors>
    <ignoredError sqref="F27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00E6-67B5-4BA5-820E-73A139C0239B}">
  <sheetPr>
    <tabColor theme="3" tint="0.59999389629810485"/>
    <pageSetUpPr fitToPage="1"/>
  </sheetPr>
  <dimension ref="A1:U45"/>
  <sheetViews>
    <sheetView zoomScaleNormal="100" workbookViewId="0">
      <selection activeCell="C38" sqref="C38"/>
    </sheetView>
  </sheetViews>
  <sheetFormatPr defaultRowHeight="14.4" x14ac:dyDescent="0.3"/>
  <cols>
    <col min="1" max="1" width="18.44140625" customWidth="1"/>
    <col min="2" max="2" width="11.6640625" customWidth="1"/>
    <col min="3" max="3" width="7.44140625" customWidth="1"/>
    <col min="4" max="4" width="12.33203125" style="9" bestFit="1" customWidth="1"/>
    <col min="5" max="5" width="11.44140625" style="9" customWidth="1"/>
    <col min="6" max="6" width="12.6640625" customWidth="1"/>
    <col min="8" max="8" width="18.44140625" customWidth="1"/>
    <col min="9" max="9" width="11.6640625" customWidth="1"/>
    <col min="10" max="10" width="7.44140625" customWidth="1"/>
    <col min="11" max="11" width="12.33203125" customWidth="1"/>
    <col min="12" max="12" width="11.44140625" customWidth="1"/>
    <col min="13" max="13" width="12.6640625" customWidth="1"/>
    <col min="14" max="14" width="6.33203125" customWidth="1"/>
    <col min="15" max="15" width="18.44140625" customWidth="1"/>
    <col min="16" max="16" width="11.6640625" customWidth="1"/>
    <col min="17" max="17" width="7.44140625" customWidth="1"/>
    <col min="18" max="18" width="12.33203125" customWidth="1"/>
    <col min="19" max="19" width="11.44140625" customWidth="1"/>
    <col min="20" max="20" width="12.6640625" customWidth="1"/>
  </cols>
  <sheetData>
    <row r="1" spans="1:20" x14ac:dyDescent="0.3">
      <c r="A1" s="189" t="s">
        <v>476</v>
      </c>
      <c r="B1" s="189"/>
      <c r="C1" s="189"/>
      <c r="D1" s="189"/>
      <c r="E1" s="189"/>
      <c r="F1" s="189"/>
      <c r="H1" s="189" t="s">
        <v>477</v>
      </c>
      <c r="I1" s="189"/>
      <c r="J1" s="189"/>
      <c r="K1" s="189"/>
      <c r="L1" s="189"/>
      <c r="M1" s="189"/>
      <c r="O1" s="189" t="s">
        <v>478</v>
      </c>
      <c r="P1" s="189"/>
      <c r="Q1" s="189"/>
      <c r="R1" s="189"/>
      <c r="S1" s="189"/>
      <c r="T1" s="189"/>
    </row>
    <row r="2" spans="1:20" x14ac:dyDescent="0.3">
      <c r="A2" s="3"/>
      <c r="B2" s="3"/>
      <c r="C2" s="123" t="s">
        <v>494</v>
      </c>
      <c r="H2" s="3"/>
      <c r="I2" s="3"/>
      <c r="J2" s="123" t="s">
        <v>493</v>
      </c>
      <c r="K2" s="9"/>
      <c r="L2" s="9"/>
      <c r="O2" s="3"/>
      <c r="P2" s="3"/>
      <c r="Q2" s="123" t="s">
        <v>495</v>
      </c>
      <c r="R2" s="9"/>
      <c r="S2" s="9"/>
    </row>
    <row r="3" spans="1:20" x14ac:dyDescent="0.3">
      <c r="A3" s="188"/>
      <c r="B3" s="188"/>
      <c r="C3" s="188"/>
      <c r="H3" s="188"/>
      <c r="I3" s="188"/>
      <c r="J3" s="188"/>
      <c r="K3" s="9"/>
      <c r="L3" s="9"/>
      <c r="O3" s="188"/>
      <c r="P3" s="188"/>
      <c r="Q3" s="188"/>
      <c r="R3" s="9"/>
      <c r="S3" s="9"/>
    </row>
    <row r="4" spans="1:20" ht="43.2" x14ac:dyDescent="0.3">
      <c r="A4" s="4" t="s">
        <v>776</v>
      </c>
      <c r="B4" s="4" t="s">
        <v>22</v>
      </c>
      <c r="C4" s="4" t="s">
        <v>19</v>
      </c>
      <c r="D4" s="49" t="s">
        <v>326</v>
      </c>
      <c r="E4" s="49" t="s">
        <v>325</v>
      </c>
      <c r="F4" s="11" t="s">
        <v>25</v>
      </c>
      <c r="H4" s="4" t="s">
        <v>776</v>
      </c>
      <c r="I4" s="4" t="s">
        <v>22</v>
      </c>
      <c r="J4" s="4" t="s">
        <v>19</v>
      </c>
      <c r="K4" s="49" t="s">
        <v>326</v>
      </c>
      <c r="L4" s="49" t="s">
        <v>325</v>
      </c>
      <c r="M4" s="11" t="s">
        <v>25</v>
      </c>
      <c r="O4" s="4" t="s">
        <v>776</v>
      </c>
      <c r="P4" s="4" t="s">
        <v>22</v>
      </c>
      <c r="Q4" s="4" t="s">
        <v>19</v>
      </c>
      <c r="R4" s="49" t="s">
        <v>326</v>
      </c>
      <c r="S4" s="49" t="s">
        <v>325</v>
      </c>
      <c r="T4" s="11" t="s">
        <v>25</v>
      </c>
    </row>
    <row r="5" spans="1:20" ht="28.5" customHeight="1" x14ac:dyDescent="0.3">
      <c r="A5" s="6" t="s">
        <v>23</v>
      </c>
      <c r="B5" s="15">
        <v>43915</v>
      </c>
      <c r="C5" s="6" t="s">
        <v>20</v>
      </c>
      <c r="D5" s="13">
        <f>22377.24-11124.17</f>
        <v>11253.070000000002</v>
      </c>
      <c r="E5" s="13">
        <f>6077.82-4341.26</f>
        <v>1736.5599999999995</v>
      </c>
      <c r="F5" s="13">
        <f>SUM(D5:E5)</f>
        <v>12989.630000000001</v>
      </c>
      <c r="H5" s="6" t="s">
        <v>23</v>
      </c>
      <c r="I5" s="15">
        <v>43915</v>
      </c>
      <c r="J5" s="6" t="s">
        <v>20</v>
      </c>
      <c r="K5" s="13">
        <v>0</v>
      </c>
      <c r="L5" s="13">
        <v>0</v>
      </c>
      <c r="M5" s="13">
        <f>SUM(K5:L5)</f>
        <v>0</v>
      </c>
      <c r="O5" s="6" t="s">
        <v>23</v>
      </c>
      <c r="P5" s="15">
        <v>43915</v>
      </c>
      <c r="Q5" s="6" t="s">
        <v>20</v>
      </c>
      <c r="R5" s="13">
        <v>0</v>
      </c>
      <c r="S5" s="13">
        <v>0</v>
      </c>
      <c r="T5" s="13">
        <f>SUM(R5:S5)</f>
        <v>0</v>
      </c>
    </row>
    <row r="6" spans="1:20" x14ac:dyDescent="0.3">
      <c r="A6" s="6" t="s">
        <v>24</v>
      </c>
      <c r="B6" s="15">
        <v>43915</v>
      </c>
      <c r="C6" s="6" t="s">
        <v>21</v>
      </c>
      <c r="D6" s="13">
        <f>93.62</f>
        <v>93.62</v>
      </c>
      <c r="E6" s="13">
        <f>1.19+12.22+0.15+25.53+0.41+1.23+0.23</f>
        <v>40.959999999999994</v>
      </c>
      <c r="F6" s="13">
        <f>SUM(D6:E6)</f>
        <v>134.57999999999998</v>
      </c>
      <c r="H6" s="6" t="s">
        <v>24</v>
      </c>
      <c r="I6" s="15">
        <v>43915</v>
      </c>
      <c r="J6" s="6" t="s">
        <v>21</v>
      </c>
      <c r="K6" s="13">
        <v>0</v>
      </c>
      <c r="L6" s="13">
        <v>0</v>
      </c>
      <c r="M6" s="13">
        <f>SUM(K6:L6)</f>
        <v>0</v>
      </c>
      <c r="O6" s="6" t="s">
        <v>24</v>
      </c>
      <c r="P6" s="15">
        <v>43915</v>
      </c>
      <c r="Q6" s="6" t="s">
        <v>21</v>
      </c>
      <c r="R6" s="13">
        <v>0</v>
      </c>
      <c r="S6" s="13">
        <v>0</v>
      </c>
      <c r="T6" s="13">
        <f>SUM(R6:S6)</f>
        <v>0</v>
      </c>
    </row>
    <row r="7" spans="1:20" x14ac:dyDescent="0.3">
      <c r="A7" s="6" t="s">
        <v>30</v>
      </c>
      <c r="B7" s="15">
        <v>43929</v>
      </c>
      <c r="C7" s="6" t="s">
        <v>20</v>
      </c>
      <c r="D7" s="13">
        <f>64662.25-30226.8+90.11</f>
        <v>34525.56</v>
      </c>
      <c r="E7" s="13">
        <f>17063.02-9617.97+1228.42-16.36+1078.06</f>
        <v>9735.17</v>
      </c>
      <c r="F7" s="13">
        <f t="shared" ref="F7:F27" si="0">SUM(D7:E7)</f>
        <v>44260.729999999996</v>
      </c>
      <c r="H7" s="6" t="s">
        <v>30</v>
      </c>
      <c r="I7" s="15">
        <v>43929</v>
      </c>
      <c r="J7" s="6" t="s">
        <v>20</v>
      </c>
      <c r="K7" s="13">
        <v>0</v>
      </c>
      <c r="L7" s="13">
        <v>0</v>
      </c>
      <c r="M7" s="13">
        <f t="shared" ref="M7:M27" si="1">SUM(K7:L7)</f>
        <v>0</v>
      </c>
      <c r="O7" s="6" t="s">
        <v>30</v>
      </c>
      <c r="P7" s="15">
        <v>43929</v>
      </c>
      <c r="Q7" s="6" t="s">
        <v>20</v>
      </c>
      <c r="R7" s="13">
        <v>0</v>
      </c>
      <c r="S7" s="13">
        <v>0</v>
      </c>
      <c r="T7" s="13">
        <f t="shared" ref="T7:T27" si="2">SUM(R7:S7)</f>
        <v>0</v>
      </c>
    </row>
    <row r="8" spans="1:20" x14ac:dyDescent="0.3">
      <c r="A8" s="6" t="s">
        <v>34</v>
      </c>
      <c r="B8" s="15">
        <v>43930</v>
      </c>
      <c r="C8" s="6" t="s">
        <v>21</v>
      </c>
      <c r="D8" s="13">
        <f>2021.89</f>
        <v>2021.89</v>
      </c>
      <c r="E8" s="46"/>
      <c r="F8" s="13">
        <f t="shared" si="0"/>
        <v>2021.89</v>
      </c>
      <c r="H8" s="6" t="s">
        <v>34</v>
      </c>
      <c r="I8" s="15">
        <v>43930</v>
      </c>
      <c r="J8" s="6" t="s">
        <v>21</v>
      </c>
      <c r="K8" s="13">
        <v>0</v>
      </c>
      <c r="L8" s="44">
        <v>0</v>
      </c>
      <c r="M8" s="13">
        <f t="shared" si="1"/>
        <v>0</v>
      </c>
      <c r="O8" s="6" t="s">
        <v>34</v>
      </c>
      <c r="P8" s="15">
        <v>43930</v>
      </c>
      <c r="Q8" s="6" t="s">
        <v>21</v>
      </c>
      <c r="R8" s="13">
        <v>0</v>
      </c>
      <c r="S8" s="44">
        <v>0</v>
      </c>
      <c r="T8" s="13">
        <f t="shared" si="2"/>
        <v>0</v>
      </c>
    </row>
    <row r="9" spans="1:20" x14ac:dyDescent="0.3">
      <c r="A9" s="6" t="s">
        <v>31</v>
      </c>
      <c r="B9" s="15">
        <v>43943</v>
      </c>
      <c r="C9" s="6" t="s">
        <v>20</v>
      </c>
      <c r="D9" s="13">
        <v>4070.67</v>
      </c>
      <c r="E9" s="13">
        <f>90.14+608.34-3.63-843.7-23.08-84.78+25.74-6.23+18.61</f>
        <v>-218.59000000000003</v>
      </c>
      <c r="F9" s="13">
        <f t="shared" si="0"/>
        <v>3852.08</v>
      </c>
      <c r="H9" s="6" t="s">
        <v>31</v>
      </c>
      <c r="I9" s="15">
        <v>43943</v>
      </c>
      <c r="J9" s="6" t="s">
        <v>20</v>
      </c>
      <c r="K9" s="13">
        <v>0</v>
      </c>
      <c r="L9" s="13">
        <v>0</v>
      </c>
      <c r="M9" s="13">
        <f t="shared" si="1"/>
        <v>0</v>
      </c>
      <c r="O9" s="6" t="s">
        <v>31</v>
      </c>
      <c r="P9" s="15">
        <v>43943</v>
      </c>
      <c r="Q9" s="6" t="s">
        <v>20</v>
      </c>
      <c r="R9" s="13">
        <v>0</v>
      </c>
      <c r="S9" s="13">
        <v>0</v>
      </c>
      <c r="T9" s="13">
        <f t="shared" si="2"/>
        <v>0</v>
      </c>
    </row>
    <row r="10" spans="1:20" x14ac:dyDescent="0.3">
      <c r="A10" s="6" t="s">
        <v>35</v>
      </c>
      <c r="B10" s="15">
        <v>43945</v>
      </c>
      <c r="C10" s="6" t="s">
        <v>21</v>
      </c>
      <c r="D10" s="13">
        <v>5073.08</v>
      </c>
      <c r="E10" s="13">
        <f>68.29+662.03+7.38+991.78+20.01+66.45+11.44</f>
        <v>1827.38</v>
      </c>
      <c r="F10" s="13">
        <f t="shared" si="0"/>
        <v>6900.46</v>
      </c>
      <c r="H10" s="6" t="s">
        <v>35</v>
      </c>
      <c r="I10" s="15">
        <v>43945</v>
      </c>
      <c r="J10" s="6" t="s">
        <v>21</v>
      </c>
      <c r="K10" s="13">
        <v>0</v>
      </c>
      <c r="L10" s="13">
        <v>0</v>
      </c>
      <c r="M10" s="13">
        <f t="shared" si="1"/>
        <v>0</v>
      </c>
      <c r="O10" s="6" t="s">
        <v>35</v>
      </c>
      <c r="P10" s="15">
        <v>43945</v>
      </c>
      <c r="Q10" s="6" t="s">
        <v>21</v>
      </c>
      <c r="R10" s="13">
        <v>0</v>
      </c>
      <c r="S10" s="13">
        <v>0</v>
      </c>
      <c r="T10" s="13">
        <f t="shared" si="2"/>
        <v>0</v>
      </c>
    </row>
    <row r="11" spans="1:20" x14ac:dyDescent="0.3">
      <c r="A11" s="6" t="s">
        <v>32</v>
      </c>
      <c r="B11" s="15">
        <v>43957</v>
      </c>
      <c r="C11" s="6" t="s">
        <v>20</v>
      </c>
      <c r="D11" s="13">
        <f>12539.57+1927</f>
        <v>14466.57</v>
      </c>
      <c r="E11" s="13">
        <v>3149.2000000000007</v>
      </c>
      <c r="F11" s="13">
        <f t="shared" si="0"/>
        <v>17615.77</v>
      </c>
      <c r="H11" s="6" t="s">
        <v>32</v>
      </c>
      <c r="I11" s="15">
        <v>43957</v>
      </c>
      <c r="J11" s="6" t="s">
        <v>20</v>
      </c>
      <c r="K11" s="13">
        <v>0</v>
      </c>
      <c r="L11" s="13">
        <v>0</v>
      </c>
      <c r="M11" s="13">
        <f t="shared" si="1"/>
        <v>0</v>
      </c>
      <c r="O11" s="6" t="s">
        <v>32</v>
      </c>
      <c r="P11" s="15">
        <v>43957</v>
      </c>
      <c r="Q11" s="6" t="s">
        <v>20</v>
      </c>
      <c r="R11" s="13">
        <v>0</v>
      </c>
      <c r="S11" s="13">
        <v>0</v>
      </c>
      <c r="T11" s="13">
        <f t="shared" si="2"/>
        <v>0</v>
      </c>
    </row>
    <row r="12" spans="1:20" x14ac:dyDescent="0.3">
      <c r="A12" s="6" t="s">
        <v>36</v>
      </c>
      <c r="B12" s="15">
        <v>43959</v>
      </c>
      <c r="C12" s="6" t="s">
        <v>21</v>
      </c>
      <c r="D12" s="13">
        <v>3003.42</v>
      </c>
      <c r="E12" s="13">
        <f>17208.64-SUM(E5:E11)</f>
        <v>937.95999999999913</v>
      </c>
      <c r="F12" s="13">
        <f t="shared" si="0"/>
        <v>3941.3799999999992</v>
      </c>
      <c r="H12" s="6" t="s">
        <v>36</v>
      </c>
      <c r="I12" s="15">
        <v>43959</v>
      </c>
      <c r="J12" s="6" t="s">
        <v>21</v>
      </c>
      <c r="K12" s="13">
        <v>0</v>
      </c>
      <c r="L12" s="13">
        <v>0</v>
      </c>
      <c r="M12" s="13">
        <f t="shared" si="1"/>
        <v>0</v>
      </c>
      <c r="O12" s="6" t="s">
        <v>36</v>
      </c>
      <c r="P12" s="15">
        <v>43959</v>
      </c>
      <c r="Q12" s="6" t="s">
        <v>21</v>
      </c>
      <c r="R12" s="13">
        <v>0</v>
      </c>
      <c r="S12" s="13">
        <v>0</v>
      </c>
      <c r="T12" s="13">
        <f t="shared" si="2"/>
        <v>0</v>
      </c>
    </row>
    <row r="13" spans="1:20" x14ac:dyDescent="0.3">
      <c r="A13" s="6" t="s">
        <v>33</v>
      </c>
      <c r="B13" s="15">
        <v>43971</v>
      </c>
      <c r="C13" s="6" t="s">
        <v>20</v>
      </c>
      <c r="D13" s="13">
        <f>11418.26+118.61</f>
        <v>11536.87</v>
      </c>
      <c r="E13" s="13">
        <f>19694.83-SUM(E5:E12)</f>
        <v>2486.1900000000023</v>
      </c>
      <c r="F13" s="13">
        <f t="shared" si="0"/>
        <v>14023.060000000003</v>
      </c>
      <c r="H13" s="6" t="s">
        <v>33</v>
      </c>
      <c r="I13" s="15">
        <v>43971</v>
      </c>
      <c r="J13" s="6" t="s">
        <v>20</v>
      </c>
      <c r="K13" s="13">
        <v>0</v>
      </c>
      <c r="L13" s="13">
        <v>0</v>
      </c>
      <c r="M13" s="13">
        <f t="shared" si="1"/>
        <v>0</v>
      </c>
      <c r="O13" s="6" t="s">
        <v>33</v>
      </c>
      <c r="P13" s="15">
        <v>43971</v>
      </c>
      <c r="Q13" s="6" t="s">
        <v>20</v>
      </c>
      <c r="R13" s="13">
        <v>0</v>
      </c>
      <c r="S13" s="13">
        <v>0</v>
      </c>
      <c r="T13" s="13">
        <f t="shared" si="2"/>
        <v>0</v>
      </c>
    </row>
    <row r="14" spans="1:20" x14ac:dyDescent="0.3">
      <c r="A14" s="6" t="s">
        <v>37</v>
      </c>
      <c r="B14" s="15">
        <v>43973</v>
      </c>
      <c r="C14" s="6" t="s">
        <v>21</v>
      </c>
      <c r="D14" s="13">
        <v>-980.52</v>
      </c>
      <c r="E14" s="13">
        <f>19144.4-SUM(E5:E13)</f>
        <v>-550.43000000000029</v>
      </c>
      <c r="F14" s="13">
        <f t="shared" si="0"/>
        <v>-1530.9500000000003</v>
      </c>
      <c r="H14" s="6" t="s">
        <v>37</v>
      </c>
      <c r="I14" s="15">
        <v>43973</v>
      </c>
      <c r="J14" s="6" t="s">
        <v>21</v>
      </c>
      <c r="K14" s="13">
        <v>0</v>
      </c>
      <c r="L14" s="13">
        <v>0</v>
      </c>
      <c r="M14" s="13">
        <f t="shared" si="1"/>
        <v>0</v>
      </c>
      <c r="O14" s="6" t="s">
        <v>37</v>
      </c>
      <c r="P14" s="15">
        <v>43973</v>
      </c>
      <c r="Q14" s="6" t="s">
        <v>21</v>
      </c>
      <c r="R14" s="13">
        <v>0</v>
      </c>
      <c r="S14" s="13">
        <v>0</v>
      </c>
      <c r="T14" s="13">
        <f t="shared" si="2"/>
        <v>0</v>
      </c>
    </row>
    <row r="15" spans="1:20" x14ac:dyDescent="0.3">
      <c r="A15" s="6" t="s">
        <v>40</v>
      </c>
      <c r="B15" s="15">
        <v>43985</v>
      </c>
      <c r="C15" s="6" t="s">
        <v>20</v>
      </c>
      <c r="D15" s="13">
        <f>12871.48+76.36</f>
        <v>12947.84</v>
      </c>
      <c r="E15" s="13">
        <f>21869.23-SUM(E5:E14)</f>
        <v>2724.8299999999981</v>
      </c>
      <c r="F15" s="13">
        <f t="shared" si="0"/>
        <v>15672.669999999998</v>
      </c>
      <c r="H15" s="6" t="s">
        <v>40</v>
      </c>
      <c r="I15" s="15">
        <v>43985</v>
      </c>
      <c r="J15" s="6" t="s">
        <v>20</v>
      </c>
      <c r="K15" s="13">
        <v>0</v>
      </c>
      <c r="L15" s="13">
        <v>0</v>
      </c>
      <c r="M15" s="13">
        <f t="shared" si="1"/>
        <v>0</v>
      </c>
      <c r="O15" s="6" t="s">
        <v>40</v>
      </c>
      <c r="P15" s="15">
        <v>43985</v>
      </c>
      <c r="Q15" s="6" t="s">
        <v>20</v>
      </c>
      <c r="R15" s="13">
        <v>0</v>
      </c>
      <c r="S15" s="13">
        <v>0</v>
      </c>
      <c r="T15" s="13">
        <f t="shared" si="2"/>
        <v>0</v>
      </c>
    </row>
    <row r="16" spans="1:20" x14ac:dyDescent="0.3">
      <c r="A16" s="6" t="s">
        <v>38</v>
      </c>
      <c r="B16" s="15">
        <v>43990</v>
      </c>
      <c r="C16" s="6" t="s">
        <v>21</v>
      </c>
      <c r="D16" s="13">
        <f>-980.52+1966+79.28</f>
        <v>1064.76</v>
      </c>
      <c r="E16" s="13">
        <f>22255-SUM(E5:E15)</f>
        <v>385.77000000000044</v>
      </c>
      <c r="F16" s="13">
        <f t="shared" si="0"/>
        <v>1450.5300000000004</v>
      </c>
      <c r="H16" s="6" t="s">
        <v>38</v>
      </c>
      <c r="I16" s="15">
        <v>43990</v>
      </c>
      <c r="J16" s="6" t="s">
        <v>21</v>
      </c>
      <c r="K16" s="13">
        <v>0</v>
      </c>
      <c r="L16" s="13">
        <v>0</v>
      </c>
      <c r="M16" s="13">
        <f t="shared" si="1"/>
        <v>0</v>
      </c>
      <c r="O16" s="6" t="s">
        <v>38</v>
      </c>
      <c r="P16" s="15">
        <v>43990</v>
      </c>
      <c r="Q16" s="6" t="s">
        <v>21</v>
      </c>
      <c r="R16" s="13">
        <v>0</v>
      </c>
      <c r="S16" s="13">
        <v>0</v>
      </c>
      <c r="T16" s="13">
        <f t="shared" si="2"/>
        <v>0</v>
      </c>
    </row>
    <row r="17" spans="1:21" x14ac:dyDescent="0.3">
      <c r="A17" s="6" t="s">
        <v>41</v>
      </c>
      <c r="B17" s="15">
        <v>43999</v>
      </c>
      <c r="C17" s="6" t="s">
        <v>20</v>
      </c>
      <c r="D17" s="13">
        <f>9851.27+15.96</f>
        <v>9867.23</v>
      </c>
      <c r="E17" s="13">
        <f>24622.18-SUM(E5:E16)</f>
        <v>2367.1800000000003</v>
      </c>
      <c r="F17" s="13">
        <f t="shared" si="0"/>
        <v>12234.41</v>
      </c>
      <c r="H17" s="6" t="s">
        <v>41</v>
      </c>
      <c r="I17" s="15">
        <v>43999</v>
      </c>
      <c r="J17" s="6" t="s">
        <v>20</v>
      </c>
      <c r="K17" s="13">
        <f>3139.29+1204.39</f>
        <v>4343.68</v>
      </c>
      <c r="L17" s="13">
        <v>1300.46</v>
      </c>
      <c r="M17" s="13">
        <f t="shared" si="1"/>
        <v>5644.14</v>
      </c>
      <c r="N17" s="144" t="s">
        <v>714</v>
      </c>
      <c r="O17" s="6" t="s">
        <v>41</v>
      </c>
      <c r="P17" s="15">
        <v>43999</v>
      </c>
      <c r="Q17" s="6" t="s">
        <v>20</v>
      </c>
      <c r="R17" s="13">
        <f>6637.72+3371.56</f>
        <v>10009.280000000001</v>
      </c>
      <c r="S17" s="13">
        <v>3380.51</v>
      </c>
      <c r="T17" s="13">
        <f t="shared" si="2"/>
        <v>13389.79</v>
      </c>
      <c r="U17" s="144" t="s">
        <v>68</v>
      </c>
    </row>
    <row r="18" spans="1:21" x14ac:dyDescent="0.3">
      <c r="A18" s="6" t="s">
        <v>39</v>
      </c>
      <c r="B18" s="15">
        <v>44005</v>
      </c>
      <c r="C18" s="6" t="s">
        <v>21</v>
      </c>
      <c r="D18" s="13">
        <f>1923.89</f>
        <v>1923.89</v>
      </c>
      <c r="E18" s="13">
        <f>25243.87-SUM(E5:E17)</f>
        <v>621.68999999999869</v>
      </c>
      <c r="F18" s="13">
        <f t="shared" si="0"/>
        <v>2545.579999999999</v>
      </c>
      <c r="H18" s="6" t="s">
        <v>39</v>
      </c>
      <c r="I18" s="15">
        <v>44005</v>
      </c>
      <c r="J18" s="6" t="s">
        <v>21</v>
      </c>
      <c r="K18" s="13">
        <f>255.03+205.42+122.98</f>
        <v>583.42999999999995</v>
      </c>
      <c r="L18" s="13">
        <f>1539.42-SUM(L5:L17)</f>
        <v>238.96000000000004</v>
      </c>
      <c r="M18" s="13">
        <f t="shared" si="1"/>
        <v>822.39</v>
      </c>
      <c r="N18" s="144" t="s">
        <v>711</v>
      </c>
      <c r="O18" s="6" t="s">
        <v>39</v>
      </c>
      <c r="P18" s="15">
        <v>44005</v>
      </c>
      <c r="Q18" s="6" t="s">
        <v>21</v>
      </c>
      <c r="R18" s="13">
        <f>1032.32+504.09</f>
        <v>1536.4099999999999</v>
      </c>
      <c r="S18" s="13">
        <f>3950.37-SUM(S5:S17)</f>
        <v>569.85999999999967</v>
      </c>
      <c r="T18" s="13">
        <f t="shared" si="2"/>
        <v>2106.2699999999995</v>
      </c>
      <c r="U18" s="144" t="s">
        <v>715</v>
      </c>
    </row>
    <row r="19" spans="1:21" x14ac:dyDescent="0.3">
      <c r="A19" s="6" t="s">
        <v>42</v>
      </c>
      <c r="B19" s="15">
        <v>44013</v>
      </c>
      <c r="C19" s="6" t="s">
        <v>20</v>
      </c>
      <c r="D19" s="13">
        <f>10227.37</f>
        <v>10227.370000000001</v>
      </c>
      <c r="E19" s="13">
        <f>27474.36-SUM(E5:E18)</f>
        <v>2230.4900000000016</v>
      </c>
      <c r="F19" s="13">
        <f t="shared" si="0"/>
        <v>12457.860000000002</v>
      </c>
      <c r="H19" s="6" t="s">
        <v>42</v>
      </c>
      <c r="I19" s="15">
        <v>44013</v>
      </c>
      <c r="J19" s="6" t="s">
        <v>20</v>
      </c>
      <c r="K19" s="13">
        <f>21421.62+8629.84</f>
        <v>30051.46</v>
      </c>
      <c r="L19" s="13">
        <f>11128.64-SUM(L5:L18)</f>
        <v>9589.2199999999993</v>
      </c>
      <c r="M19" s="13">
        <f t="shared" si="1"/>
        <v>39640.68</v>
      </c>
      <c r="N19" s="144" t="s">
        <v>708</v>
      </c>
      <c r="O19" s="6" t="s">
        <v>42</v>
      </c>
      <c r="P19" s="15">
        <v>44013</v>
      </c>
      <c r="Q19" s="6" t="s">
        <v>20</v>
      </c>
      <c r="R19" s="13"/>
      <c r="S19" s="13"/>
      <c r="T19" s="13">
        <f t="shared" si="2"/>
        <v>0</v>
      </c>
    </row>
    <row r="20" spans="1:21" x14ac:dyDescent="0.3">
      <c r="A20" s="6" t="s">
        <v>44</v>
      </c>
      <c r="B20" s="15">
        <v>44020</v>
      </c>
      <c r="C20" s="6" t="s">
        <v>21</v>
      </c>
      <c r="D20" s="13">
        <v>283.25</v>
      </c>
      <c r="E20" s="13">
        <v>119.77</v>
      </c>
      <c r="F20" s="13">
        <f t="shared" si="0"/>
        <v>403.02</v>
      </c>
      <c r="H20" s="6" t="s">
        <v>44</v>
      </c>
      <c r="I20" s="15">
        <v>44020</v>
      </c>
      <c r="J20" s="6" t="s">
        <v>21</v>
      </c>
      <c r="K20" s="13"/>
      <c r="L20" s="13"/>
      <c r="M20" s="13">
        <f t="shared" si="1"/>
        <v>0</v>
      </c>
      <c r="O20" s="6" t="s">
        <v>44</v>
      </c>
      <c r="P20" s="15">
        <v>44020</v>
      </c>
      <c r="Q20" s="6" t="s">
        <v>21</v>
      </c>
      <c r="R20" s="13"/>
      <c r="S20" s="13"/>
      <c r="T20" s="13">
        <f t="shared" si="2"/>
        <v>0</v>
      </c>
    </row>
    <row r="21" spans="1:21" x14ac:dyDescent="0.3">
      <c r="A21" s="6" t="s">
        <v>43</v>
      </c>
      <c r="B21" s="15">
        <v>44027</v>
      </c>
      <c r="C21" s="6" t="s">
        <v>20</v>
      </c>
      <c r="D21" s="13">
        <f>15811.85+2878.9</f>
        <v>18690.75</v>
      </c>
      <c r="E21" s="13">
        <v>5254.76</v>
      </c>
      <c r="F21" s="13">
        <f t="shared" si="0"/>
        <v>23945.510000000002</v>
      </c>
      <c r="H21" s="6" t="s">
        <v>43</v>
      </c>
      <c r="I21" s="15">
        <v>44027</v>
      </c>
      <c r="J21" s="6" t="s">
        <v>20</v>
      </c>
      <c r="K21" s="13"/>
      <c r="L21" s="13"/>
      <c r="M21" s="13">
        <f t="shared" si="1"/>
        <v>0</v>
      </c>
      <c r="O21" s="6" t="s">
        <v>43</v>
      </c>
      <c r="P21" s="15">
        <v>44027</v>
      </c>
      <c r="Q21" s="6" t="s">
        <v>20</v>
      </c>
      <c r="R21" s="13"/>
      <c r="S21" s="13"/>
      <c r="T21" s="13">
        <f t="shared" si="2"/>
        <v>0</v>
      </c>
    </row>
    <row r="22" spans="1:21" x14ac:dyDescent="0.3">
      <c r="A22" s="6" t="s">
        <v>602</v>
      </c>
      <c r="B22" s="15">
        <v>44035</v>
      </c>
      <c r="C22" s="6" t="s">
        <v>21</v>
      </c>
      <c r="D22" s="13">
        <f>965.92</f>
        <v>965.92</v>
      </c>
      <c r="E22" s="13">
        <f>33122.55-SUM(E5:E21)</f>
        <v>273.66000000000349</v>
      </c>
      <c r="F22" s="13">
        <f t="shared" si="0"/>
        <v>1239.5800000000036</v>
      </c>
      <c r="H22" s="6" t="s">
        <v>602</v>
      </c>
      <c r="I22" s="15">
        <v>44035</v>
      </c>
      <c r="J22" s="6" t="s">
        <v>21</v>
      </c>
      <c r="K22" s="13"/>
      <c r="L22" s="13"/>
      <c r="M22" s="13">
        <f t="shared" si="1"/>
        <v>0</v>
      </c>
      <c r="O22" s="6" t="s">
        <v>602</v>
      </c>
      <c r="P22" s="15">
        <v>44035</v>
      </c>
      <c r="Q22" s="6" t="s">
        <v>21</v>
      </c>
      <c r="R22" s="13"/>
      <c r="S22" s="13"/>
      <c r="T22" s="13">
        <f t="shared" si="2"/>
        <v>0</v>
      </c>
    </row>
    <row r="23" spans="1:21" x14ac:dyDescent="0.3">
      <c r="A23" s="6" t="s">
        <v>603</v>
      </c>
      <c r="B23" s="15">
        <v>44041</v>
      </c>
      <c r="C23" s="6" t="s">
        <v>20</v>
      </c>
      <c r="D23" s="13">
        <f>10300.84+99.29</f>
        <v>10400.130000000001</v>
      </c>
      <c r="E23" s="13">
        <f>34648.24-SUM(E5:E22)</f>
        <v>1525.6899999999951</v>
      </c>
      <c r="F23" s="13">
        <f t="shared" si="0"/>
        <v>11925.819999999996</v>
      </c>
      <c r="H23" s="6" t="s">
        <v>603</v>
      </c>
      <c r="I23" s="15">
        <v>44041</v>
      </c>
      <c r="J23" s="6" t="s">
        <v>20</v>
      </c>
      <c r="K23" s="13"/>
      <c r="L23" s="13"/>
      <c r="M23" s="13">
        <f t="shared" si="1"/>
        <v>0</v>
      </c>
      <c r="O23" s="6" t="s">
        <v>603</v>
      </c>
      <c r="P23" s="15">
        <v>44041</v>
      </c>
      <c r="Q23" s="6" t="s">
        <v>20</v>
      </c>
      <c r="R23" s="13"/>
      <c r="S23" s="13"/>
      <c r="T23" s="13">
        <f t="shared" si="2"/>
        <v>0</v>
      </c>
    </row>
    <row r="24" spans="1:21" x14ac:dyDescent="0.3">
      <c r="A24" s="6" t="s">
        <v>643</v>
      </c>
      <c r="B24" s="134" t="s">
        <v>644</v>
      </c>
      <c r="C24" s="6" t="s">
        <v>645</v>
      </c>
      <c r="D24" s="13">
        <f>41942.2-20611.2</f>
        <v>21330.999999999996</v>
      </c>
      <c r="E24" s="13">
        <v>0</v>
      </c>
      <c r="F24" s="13">
        <f t="shared" ref="F24" si="3">SUM(D24:E24)</f>
        <v>21330.999999999996</v>
      </c>
      <c r="H24" s="6"/>
      <c r="I24" s="15"/>
      <c r="J24" s="6"/>
      <c r="K24" s="13"/>
      <c r="L24" s="13"/>
      <c r="M24" s="13">
        <f t="shared" ref="M24" si="4">SUM(K24:L24)</f>
        <v>0</v>
      </c>
      <c r="O24" s="6"/>
      <c r="P24" s="15"/>
      <c r="Q24" s="6"/>
      <c r="R24" s="13"/>
      <c r="S24" s="13"/>
      <c r="T24" s="13">
        <f t="shared" ref="T24" si="5">SUM(R24:S24)</f>
        <v>0</v>
      </c>
    </row>
    <row r="25" spans="1:21" x14ac:dyDescent="0.3">
      <c r="A25" s="6" t="s">
        <v>604</v>
      </c>
      <c r="B25" s="15">
        <v>44050</v>
      </c>
      <c r="C25" s="6" t="s">
        <v>21</v>
      </c>
      <c r="D25" s="13">
        <f>980.67</f>
        <v>980.67</v>
      </c>
      <c r="E25" s="13">
        <f>14.16+127.98+1.23+84.08+3.1+12.85+1.91</f>
        <v>245.30999999999997</v>
      </c>
      <c r="F25" s="13">
        <f t="shared" ref="F25:F26" si="6">SUM(D25:E25)</f>
        <v>1225.98</v>
      </c>
      <c r="H25" s="6" t="s">
        <v>604</v>
      </c>
      <c r="I25" s="15">
        <v>44050</v>
      </c>
      <c r="J25" s="6" t="s">
        <v>21</v>
      </c>
      <c r="K25" s="13"/>
      <c r="L25" s="13"/>
      <c r="M25" s="13">
        <f t="shared" ref="M25:M26" si="7">SUM(K25:L25)</f>
        <v>0</v>
      </c>
      <c r="O25" s="6" t="s">
        <v>604</v>
      </c>
      <c r="P25" s="15">
        <v>44050</v>
      </c>
      <c r="Q25" s="6" t="s">
        <v>21</v>
      </c>
      <c r="R25" s="13"/>
      <c r="S25" s="13"/>
      <c r="T25" s="13">
        <f t="shared" ref="T25:T26" si="8">SUM(R25:S25)</f>
        <v>0</v>
      </c>
    </row>
    <row r="26" spans="1:21" x14ac:dyDescent="0.3">
      <c r="A26" s="6" t="s">
        <v>605</v>
      </c>
      <c r="B26" s="15">
        <v>44055</v>
      </c>
      <c r="C26" s="6" t="s">
        <v>20</v>
      </c>
      <c r="D26" s="13">
        <f>7722.3+115.25</f>
        <v>7837.55</v>
      </c>
      <c r="E26" s="13">
        <f>36766.57-SUM(E5:E25)</f>
        <v>1873.0200000000041</v>
      </c>
      <c r="F26" s="13">
        <f t="shared" si="6"/>
        <v>9710.5700000000033</v>
      </c>
      <c r="H26" s="6" t="s">
        <v>605</v>
      </c>
      <c r="I26" s="15">
        <v>44055</v>
      </c>
      <c r="J26" s="6" t="s">
        <v>20</v>
      </c>
      <c r="K26" s="13"/>
      <c r="L26" s="13"/>
      <c r="M26" s="13">
        <f t="shared" si="7"/>
        <v>0</v>
      </c>
      <c r="O26" s="6" t="s">
        <v>605</v>
      </c>
      <c r="P26" s="15">
        <v>44055</v>
      </c>
      <c r="Q26" s="6" t="s">
        <v>20</v>
      </c>
      <c r="R26" s="13"/>
      <c r="S26" s="13"/>
      <c r="T26" s="13">
        <f t="shared" si="8"/>
        <v>0</v>
      </c>
    </row>
    <row r="27" spans="1:21" x14ac:dyDescent="0.3">
      <c r="A27" s="6" t="s">
        <v>606</v>
      </c>
      <c r="B27" s="15">
        <v>44064</v>
      </c>
      <c r="C27" s="6" t="s">
        <v>21</v>
      </c>
      <c r="D27" s="13">
        <v>0</v>
      </c>
      <c r="E27" s="13">
        <v>0</v>
      </c>
      <c r="F27" s="13">
        <f t="shared" si="0"/>
        <v>0</v>
      </c>
      <c r="H27" s="6" t="s">
        <v>606</v>
      </c>
      <c r="I27" s="15">
        <v>44064</v>
      </c>
      <c r="J27" s="6" t="s">
        <v>21</v>
      </c>
      <c r="K27" s="13"/>
      <c r="L27" s="13"/>
      <c r="M27" s="13">
        <f t="shared" si="1"/>
        <v>0</v>
      </c>
      <c r="O27" s="6" t="s">
        <v>606</v>
      </c>
      <c r="P27" s="15">
        <v>44064</v>
      </c>
      <c r="Q27" s="6" t="s">
        <v>21</v>
      </c>
      <c r="R27" s="13"/>
      <c r="S27" s="13"/>
      <c r="T27" s="13">
        <f t="shared" si="2"/>
        <v>0</v>
      </c>
    </row>
    <row r="28" spans="1:21" x14ac:dyDescent="0.3">
      <c r="A28" s="6" t="s">
        <v>607</v>
      </c>
      <c r="B28" s="15">
        <v>44069</v>
      </c>
      <c r="C28" s="6" t="s">
        <v>20</v>
      </c>
      <c r="D28" s="13">
        <f>6537.63+67.83</f>
        <v>6605.46</v>
      </c>
      <c r="E28" s="13">
        <f>38464.59-SUM(E5:E27)</f>
        <v>1698.0199999999968</v>
      </c>
      <c r="F28" s="13">
        <f t="shared" ref="F28" si="9">SUM(D28:E28)</f>
        <v>8303.4799999999959</v>
      </c>
      <c r="H28" s="6" t="s">
        <v>607</v>
      </c>
      <c r="I28" s="15">
        <v>44069</v>
      </c>
      <c r="J28" s="6" t="s">
        <v>20</v>
      </c>
      <c r="K28" s="13"/>
      <c r="L28" s="13"/>
      <c r="M28" s="13">
        <f t="shared" ref="M28" si="10">SUM(K28:L28)</f>
        <v>0</v>
      </c>
      <c r="O28" s="6" t="s">
        <v>607</v>
      </c>
      <c r="P28" s="15">
        <v>44069</v>
      </c>
      <c r="Q28" s="6" t="s">
        <v>20</v>
      </c>
      <c r="R28" s="13"/>
      <c r="S28" s="13"/>
      <c r="T28" s="13">
        <f t="shared" ref="T28" si="11">SUM(R28:S28)</f>
        <v>0</v>
      </c>
    </row>
    <row r="29" spans="1:21" x14ac:dyDescent="0.3">
      <c r="A29" s="6" t="s">
        <v>683</v>
      </c>
      <c r="B29" s="15">
        <v>44078</v>
      </c>
      <c r="C29" s="6" t="s">
        <v>21</v>
      </c>
      <c r="D29" s="13">
        <v>0</v>
      </c>
      <c r="E29" s="13">
        <v>0</v>
      </c>
      <c r="F29" s="13">
        <f t="shared" ref="F29" si="12">SUM(D29:E29)</f>
        <v>0</v>
      </c>
      <c r="H29" s="6" t="s">
        <v>683</v>
      </c>
      <c r="I29" s="15">
        <v>44078</v>
      </c>
      <c r="J29" s="6" t="s">
        <v>21</v>
      </c>
      <c r="K29" s="13"/>
      <c r="L29" s="13"/>
      <c r="M29" s="13">
        <f t="shared" ref="M29" si="13">SUM(K29:L29)</f>
        <v>0</v>
      </c>
      <c r="O29" s="6" t="s">
        <v>683</v>
      </c>
      <c r="P29" s="15">
        <v>44078</v>
      </c>
      <c r="Q29" s="6" t="s">
        <v>21</v>
      </c>
      <c r="R29" s="13"/>
      <c r="S29" s="13"/>
      <c r="T29" s="13">
        <f t="shared" ref="T29" si="14">SUM(R29:S29)</f>
        <v>0</v>
      </c>
    </row>
    <row r="30" spans="1:21" x14ac:dyDescent="0.3">
      <c r="A30" s="6" t="s">
        <v>687</v>
      </c>
      <c r="B30" s="15">
        <v>44083</v>
      </c>
      <c r="C30" s="6" t="s">
        <v>20</v>
      </c>
      <c r="D30" s="13">
        <f>5828.68</f>
        <v>5828.68</v>
      </c>
      <c r="E30" s="13">
        <f>39939.78-SUM(E5:E29)</f>
        <v>1475.1900000000023</v>
      </c>
      <c r="F30" s="13">
        <f t="shared" ref="F30" si="15">SUM(D30:E30)</f>
        <v>7303.8700000000026</v>
      </c>
      <c r="H30" s="6" t="s">
        <v>687</v>
      </c>
      <c r="I30" s="15">
        <v>44083</v>
      </c>
      <c r="J30" s="6" t="s">
        <v>20</v>
      </c>
      <c r="K30" s="13"/>
      <c r="L30" s="13"/>
      <c r="M30" s="13">
        <f t="shared" ref="M30" si="16">SUM(K30:L30)</f>
        <v>0</v>
      </c>
      <c r="O30" s="6" t="s">
        <v>687</v>
      </c>
      <c r="P30" s="15">
        <v>44083</v>
      </c>
      <c r="Q30" s="6" t="s">
        <v>20</v>
      </c>
      <c r="R30" s="13"/>
      <c r="S30" s="13"/>
      <c r="T30" s="13">
        <f t="shared" ref="T30" si="17">SUM(R30:S30)</f>
        <v>0</v>
      </c>
    </row>
    <row r="31" spans="1:21" x14ac:dyDescent="0.3">
      <c r="A31" s="6" t="s">
        <v>684</v>
      </c>
      <c r="B31" s="15">
        <v>44095</v>
      </c>
      <c r="C31" s="6" t="s">
        <v>21</v>
      </c>
      <c r="D31" s="13"/>
      <c r="E31" s="13"/>
      <c r="F31" s="13">
        <f t="shared" ref="F31" si="18">SUM(D31:E31)</f>
        <v>0</v>
      </c>
      <c r="H31" s="6" t="s">
        <v>684</v>
      </c>
      <c r="I31" s="15">
        <v>44095</v>
      </c>
      <c r="J31" s="6" t="s">
        <v>21</v>
      </c>
      <c r="K31" s="13"/>
      <c r="L31" s="13"/>
      <c r="M31" s="13">
        <f t="shared" ref="M31" si="19">SUM(K31:L31)</f>
        <v>0</v>
      </c>
      <c r="O31" s="6" t="s">
        <v>684</v>
      </c>
      <c r="P31" s="15">
        <v>44095</v>
      </c>
      <c r="Q31" s="6" t="s">
        <v>21</v>
      </c>
      <c r="R31" s="13"/>
      <c r="S31" s="13"/>
      <c r="T31" s="13">
        <f t="shared" ref="T31" si="20">SUM(R31:S31)</f>
        <v>0</v>
      </c>
    </row>
    <row r="32" spans="1:21" x14ac:dyDescent="0.3">
      <c r="A32" s="6" t="s">
        <v>688</v>
      </c>
      <c r="B32" s="15">
        <v>44097</v>
      </c>
      <c r="C32" s="6" t="s">
        <v>20</v>
      </c>
      <c r="D32" s="13">
        <f>5682.03+95.76</f>
        <v>5777.79</v>
      </c>
      <c r="E32" s="13">
        <f>41413.6-SUM(E5:E31)</f>
        <v>1473.8199999999997</v>
      </c>
      <c r="F32" s="13">
        <f t="shared" ref="F32" si="21">SUM(D32:E32)</f>
        <v>7251.61</v>
      </c>
      <c r="H32" s="6" t="s">
        <v>688</v>
      </c>
      <c r="I32" s="15">
        <v>44097</v>
      </c>
      <c r="J32" s="6" t="s">
        <v>20</v>
      </c>
      <c r="K32" s="13"/>
      <c r="L32" s="13"/>
      <c r="M32" s="13">
        <f t="shared" ref="M32" si="22">SUM(K32:L32)</f>
        <v>0</v>
      </c>
      <c r="O32" s="6" t="s">
        <v>688</v>
      </c>
      <c r="P32" s="15">
        <v>44097</v>
      </c>
      <c r="Q32" s="6" t="s">
        <v>20</v>
      </c>
      <c r="R32" s="13"/>
      <c r="S32" s="13"/>
      <c r="T32" s="13">
        <f t="shared" ref="T32" si="23">SUM(R32:S32)</f>
        <v>0</v>
      </c>
    </row>
    <row r="33" spans="1:21" x14ac:dyDescent="0.3">
      <c r="A33" s="6" t="s">
        <v>685</v>
      </c>
      <c r="B33" s="15">
        <v>44110</v>
      </c>
      <c r="C33" s="6" t="s">
        <v>21</v>
      </c>
      <c r="D33" s="13">
        <v>5623.6</v>
      </c>
      <c r="E33" s="13">
        <f>43244.1-SUM(E5:E32)</f>
        <v>1830.5</v>
      </c>
      <c r="F33" s="13">
        <f t="shared" ref="F33" si="24">SUM(D33:E33)</f>
        <v>7454.1</v>
      </c>
      <c r="H33" s="6" t="s">
        <v>685</v>
      </c>
      <c r="I33" s="15">
        <v>44110</v>
      </c>
      <c r="J33" s="6" t="s">
        <v>21</v>
      </c>
      <c r="K33" s="13"/>
      <c r="L33" s="13"/>
      <c r="M33" s="13">
        <f t="shared" ref="M33" si="25">SUM(K33:L33)</f>
        <v>0</v>
      </c>
      <c r="O33" s="6" t="s">
        <v>685</v>
      </c>
      <c r="P33" s="15">
        <v>44110</v>
      </c>
      <c r="Q33" s="6" t="s">
        <v>21</v>
      </c>
      <c r="R33" s="13"/>
      <c r="S33" s="13"/>
      <c r="T33" s="13">
        <f t="shared" ref="T33" si="26">SUM(R33:S33)</f>
        <v>0</v>
      </c>
    </row>
    <row r="34" spans="1:21" x14ac:dyDescent="0.3">
      <c r="A34" s="6" t="s">
        <v>689</v>
      </c>
      <c r="B34" s="15">
        <v>44111</v>
      </c>
      <c r="C34" s="6" t="s">
        <v>20</v>
      </c>
      <c r="D34" s="13">
        <f>3139.21+111.72</f>
        <v>3250.93</v>
      </c>
      <c r="E34" s="13">
        <f>44193.55-SUM(E5:E33)</f>
        <v>949.45000000000437</v>
      </c>
      <c r="F34" s="13">
        <f t="shared" ref="F34" si="27">SUM(D34:E34)</f>
        <v>4200.3800000000047</v>
      </c>
      <c r="H34" s="6" t="s">
        <v>689</v>
      </c>
      <c r="I34" s="15">
        <v>44111</v>
      </c>
      <c r="J34" s="6" t="s">
        <v>20</v>
      </c>
      <c r="K34" s="13"/>
      <c r="L34" s="13"/>
      <c r="M34" s="13">
        <f t="shared" ref="M34" si="28">SUM(K34:L34)</f>
        <v>0</v>
      </c>
      <c r="O34" s="6" t="s">
        <v>689</v>
      </c>
      <c r="P34" s="15">
        <v>44111</v>
      </c>
      <c r="Q34" s="6" t="s">
        <v>20</v>
      </c>
      <c r="R34" s="13"/>
      <c r="S34" s="13"/>
      <c r="T34" s="13">
        <f t="shared" ref="T34" si="29">SUM(R34:S34)</f>
        <v>0</v>
      </c>
    </row>
    <row r="35" spans="1:21" x14ac:dyDescent="0.3">
      <c r="A35" s="6" t="s">
        <v>686</v>
      </c>
      <c r="B35" s="15">
        <v>44125</v>
      </c>
      <c r="C35" s="6" t="s">
        <v>21</v>
      </c>
      <c r="D35" s="46">
        <v>283.41000000000003</v>
      </c>
      <c r="E35" s="46">
        <f>44288.69-SUM(E5:E34)</f>
        <v>95.139999999999418</v>
      </c>
      <c r="F35" s="46">
        <f t="shared" ref="F35" si="30">SUM(D35:E35)</f>
        <v>378.54999999999944</v>
      </c>
      <c r="H35" s="6" t="s">
        <v>686</v>
      </c>
      <c r="I35" s="15">
        <v>44125</v>
      </c>
      <c r="J35" s="6" t="s">
        <v>21</v>
      </c>
      <c r="K35" s="13"/>
      <c r="L35" s="13"/>
      <c r="M35" s="13">
        <f t="shared" ref="M35" si="31">SUM(K35:L35)</f>
        <v>0</v>
      </c>
      <c r="O35" s="6" t="s">
        <v>686</v>
      </c>
      <c r="P35" s="15">
        <v>44125</v>
      </c>
      <c r="Q35" s="6" t="s">
        <v>21</v>
      </c>
      <c r="R35" s="13"/>
      <c r="S35" s="13"/>
      <c r="T35" s="13">
        <f t="shared" ref="T35" si="32">SUM(R35:S35)</f>
        <v>0</v>
      </c>
    </row>
    <row r="36" spans="1:21" x14ac:dyDescent="0.3">
      <c r="D36" s="9">
        <f>SUM(D5:D35)</f>
        <v>208954.45999999996</v>
      </c>
      <c r="E36" s="9">
        <f>SUM(E5:E35)</f>
        <v>44288.69</v>
      </c>
      <c r="F36" s="9">
        <f>SUM(F5:F35)</f>
        <v>253243.15</v>
      </c>
      <c r="K36" s="9">
        <f>SUM(K5:K35)</f>
        <v>34978.57</v>
      </c>
      <c r="L36" s="9">
        <f>SUM(L5:L35)</f>
        <v>11128.64</v>
      </c>
      <c r="M36" s="9">
        <f>SUM(M5:M35)</f>
        <v>46107.21</v>
      </c>
      <c r="R36" s="9">
        <f>SUM(R5:R35)</f>
        <v>11545.69</v>
      </c>
      <c r="S36" s="9">
        <f>SUM(S5:S35)</f>
        <v>3950.37</v>
      </c>
      <c r="T36" s="9">
        <f>SUM(T5:T35)</f>
        <v>15496.060000000001</v>
      </c>
    </row>
    <row r="37" spans="1:21" x14ac:dyDescent="0.3">
      <c r="B37" s="47" t="s">
        <v>876</v>
      </c>
      <c r="C37" s="145" t="s">
        <v>878</v>
      </c>
      <c r="D37" s="16">
        <f>-138142.8-28790.18-79.28</f>
        <v>-167012.25999999998</v>
      </c>
      <c r="E37" s="16">
        <v>-44288.69</v>
      </c>
      <c r="F37" s="16">
        <f>D37+E37</f>
        <v>-211300.94999999998</v>
      </c>
      <c r="G37" s="144" t="s">
        <v>877</v>
      </c>
      <c r="I37" s="47" t="s">
        <v>709</v>
      </c>
      <c r="J37" s="145" t="s">
        <v>708</v>
      </c>
      <c r="K37" s="16">
        <f>-K19</f>
        <v>-30051.46</v>
      </c>
      <c r="L37" s="16">
        <f>-L19</f>
        <v>-9589.2199999999993</v>
      </c>
      <c r="M37" s="16">
        <f>-M19</f>
        <v>-39640.68</v>
      </c>
      <c r="N37" s="144" t="s">
        <v>710</v>
      </c>
      <c r="P37" s="47" t="s">
        <v>709</v>
      </c>
      <c r="Q37" s="145" t="s">
        <v>715</v>
      </c>
      <c r="R37" s="16">
        <f>-R18</f>
        <v>-1536.4099999999999</v>
      </c>
      <c r="S37" s="16">
        <f>-S18</f>
        <v>-569.85999999999967</v>
      </c>
      <c r="T37" s="16">
        <f>-T18</f>
        <v>-2106.2699999999995</v>
      </c>
      <c r="U37" s="144" t="s">
        <v>716</v>
      </c>
    </row>
    <row r="38" spans="1:21" x14ac:dyDescent="0.3">
      <c r="B38" s="47"/>
      <c r="C38" s="145"/>
      <c r="D38" s="16"/>
      <c r="E38" s="16"/>
      <c r="F38" s="16"/>
      <c r="G38" s="144"/>
      <c r="I38" s="47" t="s">
        <v>709</v>
      </c>
      <c r="J38" s="145" t="s">
        <v>711</v>
      </c>
      <c r="K38" s="16">
        <f>-K18</f>
        <v>-583.42999999999995</v>
      </c>
      <c r="L38" s="16">
        <f>-L18</f>
        <v>-238.96000000000004</v>
      </c>
      <c r="M38" s="16">
        <f>-M18</f>
        <v>-822.39</v>
      </c>
      <c r="N38" s="144" t="s">
        <v>712</v>
      </c>
      <c r="P38" s="47" t="s">
        <v>709</v>
      </c>
      <c r="Q38" s="145" t="s">
        <v>68</v>
      </c>
      <c r="R38" s="16">
        <f>-R17</f>
        <v>-10009.280000000001</v>
      </c>
      <c r="S38" s="16">
        <f>-S17</f>
        <v>-3380.51</v>
      </c>
      <c r="T38" s="16">
        <f>-T17</f>
        <v>-13389.79</v>
      </c>
      <c r="U38" s="144" t="s">
        <v>717</v>
      </c>
    </row>
    <row r="39" spans="1:21" x14ac:dyDescent="0.3">
      <c r="B39" s="47"/>
      <c r="C39" s="145"/>
      <c r="D39" s="16"/>
      <c r="E39" s="16"/>
      <c r="F39" s="16"/>
      <c r="G39" s="144"/>
      <c r="I39" s="47" t="s">
        <v>709</v>
      </c>
      <c r="J39" s="145" t="s">
        <v>714</v>
      </c>
      <c r="K39" s="16">
        <f>-K17</f>
        <v>-4343.68</v>
      </c>
      <c r="L39" s="16">
        <f>-L17</f>
        <v>-1300.46</v>
      </c>
      <c r="M39" s="16">
        <f>-M17</f>
        <v>-5644.14</v>
      </c>
      <c r="N39" s="144" t="s">
        <v>713</v>
      </c>
    </row>
    <row r="40" spans="1:21" ht="15" thickBot="1" x14ac:dyDescent="0.35">
      <c r="D40" s="146">
        <f>SUM(D36:D39)</f>
        <v>41942.199999999983</v>
      </c>
      <c r="E40" s="146">
        <f t="shared" ref="E40:F40" si="33">SUM(E36:E39)</f>
        <v>0</v>
      </c>
      <c r="F40" s="146">
        <f t="shared" si="33"/>
        <v>41942.200000000012</v>
      </c>
      <c r="K40" s="146">
        <f>SUM(K36:K39)</f>
        <v>0</v>
      </c>
      <c r="L40" s="146">
        <f t="shared" ref="L40:M40" si="34">SUM(L36:L39)</f>
        <v>0</v>
      </c>
      <c r="M40" s="146">
        <f t="shared" si="34"/>
        <v>0</v>
      </c>
      <c r="R40" s="146">
        <f>SUM(R36:R39)</f>
        <v>0</v>
      </c>
      <c r="S40" s="146">
        <f t="shared" ref="S40" si="35">SUM(S36:S39)</f>
        <v>0</v>
      </c>
      <c r="T40" s="146">
        <f t="shared" ref="T40" si="36">SUM(T36:T39)</f>
        <v>0</v>
      </c>
    </row>
    <row r="42" spans="1:21" x14ac:dyDescent="0.3">
      <c r="D42" s="184" t="s">
        <v>777</v>
      </c>
      <c r="E42" s="184"/>
      <c r="F42" s="184"/>
    </row>
    <row r="43" spans="1:21" ht="15" thickBot="1" x14ac:dyDescent="0.35">
      <c r="D43" s="14">
        <f>D40+K40+R40</f>
        <v>41942.199999999983</v>
      </c>
      <c r="E43" s="14">
        <f>E40+L40+S40</f>
        <v>0</v>
      </c>
      <c r="F43" s="14">
        <f>F40+M40+T40</f>
        <v>41942.200000000012</v>
      </c>
    </row>
    <row r="44" spans="1:21" x14ac:dyDescent="0.3">
      <c r="C44" s="47" t="s">
        <v>28</v>
      </c>
      <c r="D44" s="9">
        <v>41942.199999999997</v>
      </c>
      <c r="E44" s="9">
        <v>0</v>
      </c>
      <c r="F44" s="9">
        <v>41942.199999999997</v>
      </c>
    </row>
    <row r="45" spans="1:21" x14ac:dyDescent="0.3">
      <c r="D45" s="9">
        <f>D43-D44</f>
        <v>0</v>
      </c>
      <c r="E45" s="9">
        <f>E43-E44</f>
        <v>0</v>
      </c>
      <c r="F45" s="9">
        <f>F43-F44</f>
        <v>0</v>
      </c>
    </row>
  </sheetData>
  <mergeCells count="7">
    <mergeCell ref="O1:T1"/>
    <mergeCell ref="O3:Q3"/>
    <mergeCell ref="D42:F42"/>
    <mergeCell ref="A3:C3"/>
    <mergeCell ref="A1:F1"/>
    <mergeCell ref="H1:M1"/>
    <mergeCell ref="H3:J3"/>
  </mergeCells>
  <pageMargins left="0.7" right="0.7" top="0.75" bottom="0.75" header="0.3" footer="0.3"/>
  <pageSetup scale="36" orientation="portrait" r:id="rId1"/>
  <headerFooter>
    <oddFooter>&amp;C&amp;Z&amp;F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BD1E-862A-47D4-B8DF-88F0A2000F54}">
  <sheetPr>
    <tabColor theme="3" tint="0.59999389629810485"/>
    <pageSetUpPr fitToPage="1"/>
  </sheetPr>
  <dimension ref="A1:S5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8" sqref="G28"/>
    </sheetView>
  </sheetViews>
  <sheetFormatPr defaultRowHeight="14.4" x14ac:dyDescent="0.3"/>
  <cols>
    <col min="1" max="1" width="41.44140625" bestFit="1" customWidth="1"/>
    <col min="2" max="2" width="14" customWidth="1"/>
    <col min="3" max="3" width="8" style="2" customWidth="1"/>
    <col min="4" max="4" width="32" customWidth="1"/>
    <col min="5" max="5" width="13.33203125" style="2" bestFit="1" customWidth="1"/>
    <col min="6" max="6" width="10" style="2" bestFit="1" customWidth="1"/>
    <col min="7" max="7" width="25" style="8" customWidth="1"/>
    <col min="8" max="8" width="12.33203125" style="9" bestFit="1" customWidth="1"/>
    <col min="9" max="9" width="12.5546875" style="9" bestFit="1" customWidth="1"/>
    <col min="10" max="10" width="16.33203125" bestFit="1" customWidth="1"/>
    <col min="11" max="11" width="12" style="2" bestFit="1" customWidth="1"/>
    <col min="12" max="12" width="14" style="2" customWidth="1"/>
    <col min="13" max="13" width="14.6640625" bestFit="1" customWidth="1"/>
    <col min="16" max="17" width="33.5546875" customWidth="1"/>
    <col min="18" max="18" width="28.44140625" customWidth="1"/>
  </cols>
  <sheetData>
    <row r="1" spans="1:19" x14ac:dyDescent="0.3">
      <c r="A1" s="189" t="s">
        <v>5</v>
      </c>
      <c r="B1" s="189"/>
      <c r="C1" s="189"/>
      <c r="D1" s="189"/>
    </row>
    <row r="2" spans="1:19" x14ac:dyDescent="0.3">
      <c r="A2" s="3"/>
      <c r="B2" s="3"/>
      <c r="C2" s="3"/>
      <c r="D2" s="3"/>
      <c r="M2" s="3" t="s">
        <v>155</v>
      </c>
    </row>
    <row r="3" spans="1:19" x14ac:dyDescent="0.3">
      <c r="A3" s="188" t="s">
        <v>4</v>
      </c>
      <c r="B3" s="188"/>
      <c r="C3" s="188"/>
      <c r="D3" s="188"/>
      <c r="M3" s="3" t="s">
        <v>156</v>
      </c>
      <c r="P3" s="35"/>
      <c r="Q3" s="35"/>
      <c r="R3" s="147" t="s">
        <v>735</v>
      </c>
    </row>
    <row r="4" spans="1:19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  <c r="P4" s="147" t="s">
        <v>694</v>
      </c>
      <c r="Q4" s="147" t="s">
        <v>733</v>
      </c>
      <c r="R4" s="147" t="s">
        <v>736</v>
      </c>
    </row>
    <row r="5" spans="1:19" x14ac:dyDescent="0.3">
      <c r="A5" s="187" t="s">
        <v>1233</v>
      </c>
      <c r="B5" s="187"/>
      <c r="C5" s="187"/>
      <c r="D5" s="4"/>
      <c r="E5" s="5"/>
      <c r="F5" s="5"/>
      <c r="G5" s="10"/>
      <c r="H5" s="11"/>
      <c r="I5" s="11"/>
      <c r="J5" s="10"/>
      <c r="K5" s="5"/>
      <c r="L5" s="5"/>
      <c r="M5" s="5"/>
      <c r="P5" s="147"/>
      <c r="Q5" s="147"/>
      <c r="R5" s="147"/>
    </row>
    <row r="6" spans="1:19" x14ac:dyDescent="0.3">
      <c r="A6" s="6"/>
      <c r="B6" s="6"/>
      <c r="C6" s="43"/>
      <c r="D6" s="6"/>
      <c r="E6" s="7" t="s">
        <v>1241</v>
      </c>
      <c r="F6" s="7"/>
      <c r="G6" s="12"/>
      <c r="H6" s="13">
        <v>0</v>
      </c>
      <c r="I6" s="44">
        <v>0</v>
      </c>
      <c r="J6" s="12"/>
      <c r="K6" s="7"/>
      <c r="L6" s="7"/>
      <c r="M6" s="7"/>
      <c r="N6" s="45"/>
      <c r="S6" s="2"/>
    </row>
    <row r="7" spans="1:19" x14ac:dyDescent="0.3">
      <c r="A7" s="6"/>
      <c r="B7" s="6"/>
      <c r="C7" s="43"/>
      <c r="D7" s="6"/>
      <c r="E7" s="7"/>
      <c r="F7" s="7"/>
      <c r="G7" s="12"/>
      <c r="H7" s="13"/>
      <c r="I7" s="44"/>
      <c r="J7" s="12"/>
      <c r="K7" s="7"/>
      <c r="L7" s="7"/>
      <c r="M7" s="7"/>
      <c r="N7" s="45"/>
      <c r="S7" s="2"/>
    </row>
    <row r="8" spans="1:19" x14ac:dyDescent="0.3">
      <c r="A8" s="6"/>
      <c r="B8" s="6"/>
      <c r="C8" s="43"/>
      <c r="D8" s="6"/>
      <c r="E8" s="7"/>
      <c r="F8" s="7"/>
      <c r="G8" s="12"/>
      <c r="H8" s="13"/>
      <c r="I8" s="44"/>
      <c r="J8" s="12"/>
      <c r="K8" s="7"/>
      <c r="L8" s="7"/>
      <c r="M8" s="7"/>
      <c r="N8" s="45"/>
    </row>
    <row r="9" spans="1:19" x14ac:dyDescent="0.3">
      <c r="A9" s="6" t="s">
        <v>1246</v>
      </c>
      <c r="B9" s="6" t="s">
        <v>378</v>
      </c>
      <c r="C9" s="43">
        <f>I9/500</f>
        <v>53</v>
      </c>
      <c r="D9" s="6"/>
      <c r="E9" s="7" t="s">
        <v>1244</v>
      </c>
      <c r="F9" s="7"/>
      <c r="G9" s="12"/>
      <c r="H9" s="13">
        <v>0</v>
      </c>
      <c r="I9" s="44">
        <v>26500</v>
      </c>
      <c r="J9" s="12"/>
      <c r="K9" s="15">
        <v>44487</v>
      </c>
      <c r="L9" s="7"/>
      <c r="M9" s="7"/>
      <c r="N9" s="45"/>
    </row>
    <row r="10" spans="1:19" x14ac:dyDescent="0.3">
      <c r="A10" s="6" t="s">
        <v>1249</v>
      </c>
      <c r="B10" s="6" t="s">
        <v>378</v>
      </c>
      <c r="C10" s="43">
        <f>C9</f>
        <v>53</v>
      </c>
      <c r="D10" s="6" t="s">
        <v>1251</v>
      </c>
      <c r="E10" s="7" t="s">
        <v>1247</v>
      </c>
      <c r="F10" s="7"/>
      <c r="G10" s="12"/>
      <c r="H10" s="13">
        <v>0</v>
      </c>
      <c r="I10" s="44">
        <f>3452.95+384.25</f>
        <v>3837.2</v>
      </c>
      <c r="J10" s="12"/>
      <c r="K10" s="15">
        <v>44487</v>
      </c>
      <c r="L10" s="7"/>
      <c r="M10" s="7"/>
      <c r="N10" s="45"/>
    </row>
    <row r="11" spans="1:19" x14ac:dyDescent="0.3">
      <c r="A11" s="6" t="s">
        <v>1245</v>
      </c>
      <c r="B11" s="6" t="s">
        <v>378</v>
      </c>
      <c r="C11" s="43">
        <f>I11/500</f>
        <v>175</v>
      </c>
      <c r="D11" s="6"/>
      <c r="E11" s="7" t="s">
        <v>1244</v>
      </c>
      <c r="F11" s="7"/>
      <c r="G11" s="12"/>
      <c r="H11" s="13"/>
      <c r="I11" s="44">
        <v>87500</v>
      </c>
      <c r="J11" s="12"/>
      <c r="K11" s="15">
        <v>44489</v>
      </c>
      <c r="L11" s="7"/>
      <c r="M11" s="7"/>
      <c r="N11" s="45"/>
    </row>
    <row r="12" spans="1:19" x14ac:dyDescent="0.3">
      <c r="A12" s="6" t="s">
        <v>1250</v>
      </c>
      <c r="B12" s="6" t="s">
        <v>378</v>
      </c>
      <c r="C12" s="43">
        <f>C11</f>
        <v>175</v>
      </c>
      <c r="D12" s="6" t="s">
        <v>1254</v>
      </c>
      <c r="E12" s="7" t="s">
        <v>1247</v>
      </c>
      <c r="F12" s="7"/>
      <c r="G12" s="12"/>
      <c r="H12" s="13"/>
      <c r="I12" s="44">
        <v>12369.95</v>
      </c>
      <c r="J12" s="12"/>
      <c r="K12" s="15">
        <v>44489</v>
      </c>
      <c r="L12" s="7"/>
      <c r="M12" s="7"/>
      <c r="N12" s="45"/>
    </row>
    <row r="13" spans="1:19" x14ac:dyDescent="0.3">
      <c r="A13" s="6"/>
      <c r="B13" s="6"/>
      <c r="C13" s="43"/>
      <c r="D13" s="6"/>
      <c r="E13" s="7"/>
      <c r="F13" s="7"/>
      <c r="G13" s="12"/>
      <c r="H13" s="13">
        <v>0</v>
      </c>
      <c r="I13" s="44">
        <v>0</v>
      </c>
      <c r="J13" s="12"/>
      <c r="K13" s="7"/>
      <c r="L13" s="7"/>
      <c r="M13" s="7"/>
      <c r="N13" s="45"/>
    </row>
    <row r="14" spans="1:19" x14ac:dyDescent="0.3">
      <c r="A14" s="6"/>
      <c r="B14" s="6"/>
      <c r="C14" s="43"/>
      <c r="D14" s="6"/>
      <c r="E14" s="7"/>
      <c r="F14" s="7"/>
      <c r="G14" s="12"/>
      <c r="H14" s="13"/>
      <c r="I14" s="44"/>
      <c r="J14" s="12"/>
      <c r="K14" s="15"/>
      <c r="L14" s="7"/>
      <c r="M14" s="7"/>
    </row>
    <row r="15" spans="1:19" x14ac:dyDescent="0.3">
      <c r="A15" s="6"/>
      <c r="B15" s="6"/>
      <c r="C15" s="43"/>
      <c r="D15" s="6"/>
      <c r="E15" s="7"/>
      <c r="F15" s="7"/>
      <c r="G15" s="12"/>
      <c r="H15" s="13"/>
      <c r="I15" s="44"/>
      <c r="J15" s="12"/>
      <c r="K15" s="15"/>
      <c r="L15" s="7"/>
      <c r="M15" s="7"/>
    </row>
    <row r="16" spans="1:19" x14ac:dyDescent="0.3">
      <c r="A16" s="6"/>
      <c r="B16" s="6"/>
      <c r="C16" s="43"/>
      <c r="D16" s="6"/>
      <c r="E16" s="7" t="s">
        <v>1242</v>
      </c>
      <c r="F16" s="7"/>
      <c r="G16" s="12"/>
      <c r="H16" s="13">
        <v>0</v>
      </c>
      <c r="I16" s="44">
        <v>0</v>
      </c>
      <c r="J16" s="12"/>
      <c r="K16" s="7"/>
      <c r="L16" s="7"/>
      <c r="M16" s="7"/>
      <c r="N16" s="45"/>
      <c r="S16" s="2"/>
    </row>
    <row r="17" spans="1:19" x14ac:dyDescent="0.3">
      <c r="A17" s="6"/>
      <c r="B17" s="6"/>
      <c r="C17" s="43"/>
      <c r="D17" s="6"/>
      <c r="E17" s="7"/>
      <c r="F17" s="7"/>
      <c r="G17" s="12"/>
      <c r="H17" s="13"/>
      <c r="I17" s="44"/>
      <c r="J17" s="12"/>
      <c r="K17" s="15"/>
      <c r="L17" s="7"/>
      <c r="M17" s="7"/>
      <c r="N17" s="45"/>
    </row>
    <row r="18" spans="1:19" x14ac:dyDescent="0.3">
      <c r="A18" s="6"/>
      <c r="B18" s="6"/>
      <c r="C18" s="43"/>
      <c r="D18" s="6"/>
      <c r="E18" s="7"/>
      <c r="F18" s="7"/>
      <c r="G18" s="12"/>
      <c r="H18" s="13"/>
      <c r="I18" s="44"/>
      <c r="J18" s="12"/>
      <c r="K18" s="7"/>
      <c r="L18" s="7"/>
      <c r="M18" s="7"/>
      <c r="N18" s="45"/>
    </row>
    <row r="19" spans="1:19" x14ac:dyDescent="0.3">
      <c r="A19" s="6"/>
      <c r="B19" s="6"/>
      <c r="C19" s="43"/>
      <c r="D19" s="6"/>
      <c r="E19" s="7"/>
      <c r="F19" s="7"/>
      <c r="G19" s="12"/>
      <c r="H19" s="13"/>
      <c r="I19" s="44"/>
      <c r="J19" s="12"/>
      <c r="K19" s="7"/>
      <c r="L19" s="7"/>
      <c r="M19" s="7"/>
      <c r="N19" s="45"/>
    </row>
    <row r="20" spans="1:19" x14ac:dyDescent="0.3">
      <c r="A20" s="6"/>
      <c r="B20" s="6"/>
      <c r="C20" s="125"/>
      <c r="D20" s="6"/>
      <c r="E20" s="7" t="s">
        <v>1243</v>
      </c>
      <c r="F20" s="7"/>
      <c r="G20" s="12"/>
      <c r="H20" s="44">
        <v>0</v>
      </c>
      <c r="I20" s="44">
        <v>0</v>
      </c>
      <c r="J20" s="12"/>
      <c r="K20" s="7"/>
      <c r="L20" s="7"/>
      <c r="M20" s="7"/>
      <c r="Q20" s="2" t="s">
        <v>741</v>
      </c>
      <c r="R20" t="s">
        <v>741</v>
      </c>
      <c r="S20" s="2"/>
    </row>
    <row r="21" spans="1:19" x14ac:dyDescent="0.3">
      <c r="A21" s="6"/>
      <c r="B21" s="6"/>
      <c r="C21" s="7"/>
      <c r="D21" s="6"/>
      <c r="E21" s="7"/>
      <c r="F21" s="7"/>
      <c r="G21" s="12"/>
      <c r="H21" s="13"/>
      <c r="I21" s="44"/>
      <c r="J21" s="12"/>
      <c r="K21" s="15"/>
      <c r="L21" s="7"/>
      <c r="M21" s="7"/>
    </row>
    <row r="22" spans="1:19" x14ac:dyDescent="0.3">
      <c r="A22" s="6"/>
      <c r="B22" s="6"/>
      <c r="C22" s="43"/>
      <c r="D22" s="6"/>
      <c r="E22" s="7"/>
      <c r="F22" s="7"/>
      <c r="G22" s="12"/>
      <c r="H22" s="13"/>
      <c r="I22" s="44"/>
      <c r="J22" s="12"/>
      <c r="K22" s="7"/>
      <c r="L22" s="7"/>
      <c r="M22" s="7"/>
      <c r="N22" s="45"/>
      <c r="S22" s="2"/>
    </row>
    <row r="23" spans="1:19" x14ac:dyDescent="0.3">
      <c r="A23" s="6"/>
      <c r="B23" s="6"/>
      <c r="C23" s="43"/>
      <c r="D23" s="6"/>
      <c r="E23" s="7"/>
      <c r="F23" s="7"/>
      <c r="G23" s="12"/>
      <c r="H23" s="13"/>
      <c r="I23" s="13"/>
      <c r="J23" s="12"/>
      <c r="K23" s="15"/>
      <c r="L23" s="7"/>
      <c r="M23" s="7"/>
      <c r="N23" s="45"/>
      <c r="S23" s="2"/>
    </row>
    <row r="24" spans="1:19" x14ac:dyDescent="0.3">
      <c r="A24" s="6"/>
      <c r="B24" s="6"/>
      <c r="C24" s="43"/>
      <c r="D24" s="6"/>
      <c r="E24" s="7"/>
      <c r="F24" s="7"/>
      <c r="G24" s="12"/>
      <c r="H24" s="13"/>
      <c r="I24" s="13"/>
      <c r="J24" s="12"/>
      <c r="K24" s="15"/>
      <c r="L24" s="7"/>
      <c r="M24" s="7"/>
      <c r="N24" s="45"/>
    </row>
    <row r="25" spans="1:19" x14ac:dyDescent="0.3">
      <c r="A25" s="6"/>
      <c r="B25" s="6"/>
      <c r="C25" s="43"/>
      <c r="D25" s="6"/>
      <c r="E25" s="7"/>
      <c r="F25" s="7"/>
      <c r="G25" s="12"/>
      <c r="H25" s="13"/>
      <c r="I25" s="13"/>
      <c r="J25" s="12"/>
      <c r="K25" s="7"/>
      <c r="L25" s="7"/>
      <c r="M25" s="7"/>
    </row>
    <row r="26" spans="1:19" x14ac:dyDescent="0.3">
      <c r="H26" s="9">
        <f>SUM(H6:H25)</f>
        <v>0</v>
      </c>
      <c r="I26" s="9">
        <f>SUM(I6:I25)</f>
        <v>130207.15</v>
      </c>
      <c r="L26" s="128" t="s">
        <v>548</v>
      </c>
      <c r="M26" s="129"/>
    </row>
    <row r="27" spans="1:19" x14ac:dyDescent="0.3">
      <c r="G27" s="47" t="s">
        <v>1255</v>
      </c>
      <c r="I27" s="9">
        <f>-I10-I12</f>
        <v>-16207.150000000001</v>
      </c>
    </row>
    <row r="28" spans="1:19" x14ac:dyDescent="0.3">
      <c r="G28" s="47" t="s">
        <v>1252</v>
      </c>
      <c r="H28" s="9">
        <f>H26+H27</f>
        <v>0</v>
      </c>
      <c r="I28" s="9">
        <f>I26+I27</f>
        <v>114000</v>
      </c>
    </row>
    <row r="29" spans="1:19" x14ac:dyDescent="0.3">
      <c r="G29" s="47" t="s">
        <v>28</v>
      </c>
      <c r="H29" s="9">
        <v>0</v>
      </c>
      <c r="I29" s="9">
        <v>114000</v>
      </c>
    </row>
    <row r="30" spans="1:19" x14ac:dyDescent="0.3">
      <c r="G30" s="47" t="s">
        <v>303</v>
      </c>
      <c r="H30" s="9">
        <f>H29-H28</f>
        <v>0</v>
      </c>
      <c r="I30" s="9">
        <f>I29-I28</f>
        <v>0</v>
      </c>
    </row>
    <row r="32" spans="1:19" x14ac:dyDescent="0.3">
      <c r="G32" s="8" t="s">
        <v>13</v>
      </c>
      <c r="H32" s="9">
        <f>SUMIF($B$6:$B25,"Fire Dept Adm",$H$6:$H25)</f>
        <v>0</v>
      </c>
      <c r="I32" s="9">
        <f>SUMIF($B$6:$B25,"Fire Dept Adm",$I$6:$I25)</f>
        <v>0</v>
      </c>
    </row>
    <row r="33" spans="7:9" x14ac:dyDescent="0.3">
      <c r="G33" s="8" t="s">
        <v>574</v>
      </c>
      <c r="H33" s="9">
        <f>SUMIF($B$6:$B$25,"OEM",$H$6:$H$25)</f>
        <v>0</v>
      </c>
      <c r="I33" s="9">
        <f>SUMIF($B$6:$B$25,"OEM",$I$6:$I$25)</f>
        <v>0</v>
      </c>
    </row>
    <row r="34" spans="7:9" x14ac:dyDescent="0.3">
      <c r="G34" s="8" t="s">
        <v>46</v>
      </c>
      <c r="H34" s="9">
        <f>SUMIF($B$6:$B$25,"Police",$H$6:$H$25)</f>
        <v>0</v>
      </c>
      <c r="I34" s="9">
        <f>SUMIF($B$6:$B$25,"Police",$I$6:$I$25)</f>
        <v>0</v>
      </c>
    </row>
    <row r="35" spans="7:9" x14ac:dyDescent="0.3">
      <c r="G35" s="8" t="s">
        <v>195</v>
      </c>
      <c r="H35" s="9">
        <f>SUMIF($B$6:$B$25,"Public Works",$H$6:$H$25)</f>
        <v>0</v>
      </c>
      <c r="I35" s="9">
        <f>SUMIF($B$6:$B$25,"Public Works",$I$6:$I$25)</f>
        <v>0</v>
      </c>
    </row>
    <row r="36" spans="7:9" x14ac:dyDescent="0.3">
      <c r="G36" s="8" t="s">
        <v>280</v>
      </c>
      <c r="H36" s="9">
        <f>SUMIF($B$6:$B$25,"Commun Dev",$H$6:$H$25)</f>
        <v>0</v>
      </c>
      <c r="I36" s="9">
        <f>SUMIF($B$6:$B$25,"Commun Dev",$I$6:$I$25)</f>
        <v>0</v>
      </c>
    </row>
    <row r="37" spans="7:9" x14ac:dyDescent="0.3">
      <c r="G37" s="8" t="s">
        <v>161</v>
      </c>
      <c r="H37" s="9">
        <f>SUMIF($B$6:$B$25,"Parks &amp; Rec",$H$6:$H$25)</f>
        <v>0</v>
      </c>
      <c r="I37" s="9">
        <f>SUMIF($B$6:$B$25,"Parks &amp; Rec",$I$6:$I$25)</f>
        <v>0</v>
      </c>
    </row>
    <row r="38" spans="7:9" x14ac:dyDescent="0.3">
      <c r="G38" s="8" t="s">
        <v>293</v>
      </c>
      <c r="H38" s="9">
        <f>SUMIF($B$6:$B$25,"Library",$H$6:$H$25)</f>
        <v>0</v>
      </c>
      <c r="I38" s="9">
        <f>SUMIF($B$6:$B$25,"Library",$I$6:$I$25)</f>
        <v>0</v>
      </c>
    </row>
    <row r="39" spans="7:9" x14ac:dyDescent="0.3">
      <c r="G39" s="8" t="s">
        <v>377</v>
      </c>
      <c r="H39" s="9">
        <f>SUMIF($B$6:$B$25,"Neighb Life",$H$6:$H$25)</f>
        <v>0</v>
      </c>
      <c r="I39" s="9">
        <f>SUMIF($B$6:$B$25,"Neighb Life",$I$6:$I$25)</f>
        <v>0</v>
      </c>
    </row>
    <row r="40" spans="7:9" x14ac:dyDescent="0.3">
      <c r="G40" s="8" t="s">
        <v>310</v>
      </c>
      <c r="H40" s="9">
        <f>SUMIF($B$6:$B$25,"CM Office",$H$6:$H$25)</f>
        <v>0</v>
      </c>
      <c r="I40" s="9">
        <f>SUMIF($B$6:$B$25,"CM Office",$I$6:$I$25)</f>
        <v>0</v>
      </c>
    </row>
    <row r="41" spans="7:9" x14ac:dyDescent="0.3">
      <c r="G41" s="8" t="s">
        <v>305</v>
      </c>
      <c r="H41" s="9">
        <f>SUMIF($B$6:$B$25,"Public Info",$H$6:$H$25)</f>
        <v>0</v>
      </c>
      <c r="I41" s="9">
        <f>SUMIF($B$6:$B$25,"Public Info",$I$6:$I$25)</f>
        <v>0</v>
      </c>
    </row>
    <row r="42" spans="7:9" x14ac:dyDescent="0.3">
      <c r="G42" s="8" t="s">
        <v>212</v>
      </c>
      <c r="H42" s="9">
        <f>SUMIF($B$6:$B$25,"Court",$H$6:$H$25)</f>
        <v>0</v>
      </c>
      <c r="I42" s="9">
        <f>SUMIF($B$6:$B$25,"Court",$I$6:$I$25)</f>
        <v>0</v>
      </c>
    </row>
    <row r="43" spans="7:9" x14ac:dyDescent="0.3">
      <c r="G43" s="8" t="s">
        <v>379</v>
      </c>
      <c r="H43" s="9">
        <f>SUMIF($B$6:$B$25,"IT",$H$6:$H$25)</f>
        <v>0</v>
      </c>
      <c r="I43" s="9">
        <f>SUMIF($B$6:$B$25,"IT",$I$6:$I$25)</f>
        <v>0</v>
      </c>
    </row>
    <row r="44" spans="7:9" x14ac:dyDescent="0.3">
      <c r="G44" s="8" t="s">
        <v>647</v>
      </c>
      <c r="H44" s="9">
        <f>SUMIF($B$6:$B$25,"Econ Dev",$H$6:$H$25)</f>
        <v>0</v>
      </c>
      <c r="I44" s="9">
        <f>SUMIF($B$6:$B$25,"Econ Dev",$I$6:$I$25)</f>
        <v>0</v>
      </c>
    </row>
    <row r="45" spans="7:9" x14ac:dyDescent="0.3">
      <c r="G45" s="56" t="s">
        <v>397</v>
      </c>
      <c r="H45" s="9">
        <f>SUMIF($B$6:$B$25,"Unknown at this time",$H$6:$H$25)</f>
        <v>0</v>
      </c>
      <c r="I45" s="9">
        <f>SUMIF($B$6:$B$25,"Unknown at this time",$I$6:$I$25)</f>
        <v>0</v>
      </c>
    </row>
    <row r="46" spans="7:9" x14ac:dyDescent="0.3">
      <c r="G46" s="8" t="s">
        <v>378</v>
      </c>
      <c r="H46" s="9">
        <f>SUMIF($B$6:$B$25,"City-Wide",$H$6:$H$25)</f>
        <v>0</v>
      </c>
      <c r="I46" s="9">
        <f>SUMIF($B$6:$B$25,"City-Wide",$I$6:$I$25)</f>
        <v>130207.15</v>
      </c>
    </row>
    <row r="47" spans="7:9" x14ac:dyDescent="0.3">
      <c r="G47" s="8" t="s">
        <v>753</v>
      </c>
      <c r="H47" s="9">
        <f>SUMIF($B$6:$B$25,"Grant Rcls",$H$6:$H$25)</f>
        <v>0</v>
      </c>
      <c r="I47" s="9">
        <f>SUMIF($B$13:$B$25,"Grant Rcls",$I$13:$I$25)</f>
        <v>0</v>
      </c>
    </row>
    <row r="48" spans="7:9" x14ac:dyDescent="0.3">
      <c r="H48" s="51">
        <f>SUM(H32:H47)</f>
        <v>0</v>
      </c>
      <c r="I48" s="51">
        <f>SUM(I32:I47)</f>
        <v>130207.15</v>
      </c>
    </row>
    <row r="49" spans="1:19" x14ac:dyDescent="0.3">
      <c r="H49" s="20">
        <f>H29-H48</f>
        <v>0</v>
      </c>
      <c r="I49" s="20">
        <f>I26-I48</f>
        <v>0</v>
      </c>
    </row>
    <row r="50" spans="1:19" x14ac:dyDescent="0.3">
      <c r="H50" s="20"/>
      <c r="I50" s="20"/>
    </row>
    <row r="51" spans="1:19" ht="9.75" customHeight="1" x14ac:dyDescent="0.3">
      <c r="A51" s="52"/>
      <c r="B51" s="52"/>
      <c r="C51" s="53"/>
      <c r="D51" s="52"/>
      <c r="E51" s="53"/>
      <c r="F51" s="53"/>
      <c r="G51" s="54"/>
      <c r="H51" s="55"/>
      <c r="I51" s="55"/>
      <c r="J51" s="52"/>
      <c r="K51" s="53"/>
      <c r="L51" s="53"/>
      <c r="M51" s="52"/>
      <c r="N51" s="52"/>
    </row>
    <row r="52" spans="1:19" x14ac:dyDescent="0.3">
      <c r="A52" s="57" t="s">
        <v>190</v>
      </c>
    </row>
    <row r="53" spans="1:19" x14ac:dyDescent="0.3">
      <c r="A53" s="6"/>
      <c r="B53" s="6"/>
      <c r="C53" s="43"/>
      <c r="D53" s="6"/>
      <c r="E53" s="7"/>
      <c r="F53" s="7"/>
      <c r="G53" s="12"/>
      <c r="H53" s="13"/>
      <c r="I53" s="44"/>
      <c r="J53" s="12"/>
      <c r="K53" s="7"/>
      <c r="L53" s="7"/>
      <c r="M53" s="7"/>
      <c r="N53" s="45"/>
      <c r="S53" s="2"/>
    </row>
    <row r="54" spans="1:19" x14ac:dyDescent="0.3">
      <c r="A54" s="6"/>
      <c r="B54" s="6"/>
      <c r="C54" s="43"/>
      <c r="D54" s="6"/>
      <c r="E54" s="7"/>
      <c r="F54" s="7"/>
      <c r="G54" s="12"/>
      <c r="H54" s="13"/>
      <c r="I54" s="44"/>
      <c r="J54" s="12"/>
      <c r="K54" s="7"/>
      <c r="L54" s="7"/>
      <c r="M54" s="7"/>
      <c r="N54" s="45"/>
      <c r="S54" s="2"/>
    </row>
  </sheetData>
  <autoFilter ref="A4:S30" xr:uid="{6643C2E6-903E-450E-A16B-39C950B372EB}"/>
  <mergeCells count="3">
    <mergeCell ref="A1:D1"/>
    <mergeCell ref="A3:D3"/>
    <mergeCell ref="A5:C5"/>
  </mergeCells>
  <pageMargins left="0.25" right="0.25" top="1" bottom="0.75" header="0.3" footer="0.3"/>
  <pageSetup scale="48" fitToHeight="0" orientation="landscape" r:id="rId1"/>
  <headerFooter>
    <oddFooter>&amp;C&amp;Z&amp;F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5F22-BE2A-451C-ADBF-D767092538A5}">
  <sheetPr>
    <tabColor theme="3" tint="0.59999389629810485"/>
    <pageSetUpPr fitToPage="1"/>
  </sheetPr>
  <dimension ref="A1:S100"/>
  <sheetViews>
    <sheetView zoomScaleNormal="100" workbookViewId="0">
      <pane xSplit="1" ySplit="4" topLeftCell="B92" activePane="bottomRight" state="frozen"/>
      <selection pane="topRight" activeCell="B1" sqref="B1"/>
      <selection pane="bottomLeft" activeCell="A5" sqref="A5"/>
      <selection pane="bottomRight" activeCell="A110" sqref="A110"/>
    </sheetView>
  </sheetViews>
  <sheetFormatPr defaultRowHeight="14.4" x14ac:dyDescent="0.3"/>
  <cols>
    <col min="1" max="1" width="41.44140625" bestFit="1" customWidth="1"/>
    <col min="2" max="2" width="14" customWidth="1"/>
    <col min="3" max="3" width="8" style="2" customWidth="1"/>
    <col min="4" max="4" width="32" customWidth="1"/>
    <col min="5" max="5" width="13.33203125" style="2" bestFit="1" customWidth="1"/>
    <col min="6" max="6" width="10" style="2" bestFit="1" customWidth="1"/>
    <col min="7" max="7" width="25" style="8" customWidth="1"/>
    <col min="8" max="8" width="12.33203125" style="9" bestFit="1" customWidth="1"/>
    <col min="9" max="9" width="12.5546875" style="9" bestFit="1" customWidth="1"/>
    <col min="10" max="10" width="16.33203125" bestFit="1" customWidth="1"/>
    <col min="11" max="11" width="12" style="2" bestFit="1" customWidth="1"/>
    <col min="12" max="12" width="14" style="2" customWidth="1"/>
    <col min="13" max="13" width="14.6640625" bestFit="1" customWidth="1"/>
    <col min="16" max="17" width="33.5546875" customWidth="1"/>
    <col min="18" max="18" width="28.44140625" customWidth="1"/>
  </cols>
  <sheetData>
    <row r="1" spans="1:19" x14ac:dyDescent="0.3">
      <c r="A1" s="189" t="s">
        <v>5</v>
      </c>
      <c r="B1" s="189"/>
      <c r="C1" s="189"/>
      <c r="D1" s="189"/>
    </row>
    <row r="2" spans="1:19" x14ac:dyDescent="0.3">
      <c r="A2" s="3"/>
      <c r="B2" s="3"/>
      <c r="C2" s="3"/>
      <c r="D2" s="3"/>
      <c r="M2" s="3" t="s">
        <v>155</v>
      </c>
    </row>
    <row r="3" spans="1:19" x14ac:dyDescent="0.3">
      <c r="A3" s="188" t="s">
        <v>4</v>
      </c>
      <c r="B3" s="188"/>
      <c r="C3" s="188"/>
      <c r="D3" s="188"/>
      <c r="M3" s="3" t="s">
        <v>156</v>
      </c>
      <c r="P3" s="35"/>
      <c r="Q3" s="35"/>
      <c r="R3" s="147" t="s">
        <v>735</v>
      </c>
    </row>
    <row r="4" spans="1:19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  <c r="P4" s="147" t="s">
        <v>694</v>
      </c>
      <c r="Q4" s="147" t="s">
        <v>733</v>
      </c>
      <c r="R4" s="147" t="s">
        <v>736</v>
      </c>
    </row>
    <row r="5" spans="1:19" x14ac:dyDescent="0.3">
      <c r="A5" s="187" t="s">
        <v>1233</v>
      </c>
      <c r="B5" s="187"/>
      <c r="C5" s="187"/>
      <c r="D5" s="4"/>
      <c r="E5" s="5"/>
      <c r="F5" s="5"/>
      <c r="G5" s="10"/>
      <c r="H5" s="11"/>
      <c r="I5" s="11"/>
      <c r="J5" s="10"/>
      <c r="K5" s="5"/>
      <c r="L5" s="5"/>
      <c r="M5" s="5"/>
      <c r="P5" s="147"/>
      <c r="Q5" s="147"/>
      <c r="R5" s="147"/>
    </row>
    <row r="6" spans="1:19" x14ac:dyDescent="0.3">
      <c r="A6" s="6"/>
      <c r="B6" s="6"/>
      <c r="C6" s="43"/>
      <c r="D6" s="6"/>
      <c r="E6" s="7" t="s">
        <v>289</v>
      </c>
      <c r="F6" s="7"/>
      <c r="G6" s="12"/>
      <c r="H6" s="13">
        <v>0</v>
      </c>
      <c r="I6" s="44">
        <v>0</v>
      </c>
      <c r="J6" s="12"/>
      <c r="K6" s="7"/>
      <c r="L6" s="7"/>
      <c r="M6" s="7"/>
      <c r="N6" s="45"/>
      <c r="S6" s="2"/>
    </row>
    <row r="7" spans="1:19" x14ac:dyDescent="0.3">
      <c r="A7" s="6"/>
      <c r="B7" s="6"/>
      <c r="C7" s="43"/>
      <c r="D7" s="6"/>
      <c r="E7" s="7"/>
      <c r="F7" s="7"/>
      <c r="G7" s="12"/>
      <c r="H7" s="13"/>
      <c r="I7" s="44"/>
      <c r="J7" s="12"/>
      <c r="K7" s="7"/>
      <c r="L7" s="7"/>
      <c r="M7" s="7"/>
      <c r="N7" s="45"/>
      <c r="S7" s="2"/>
    </row>
    <row r="8" spans="1:19" x14ac:dyDescent="0.3">
      <c r="A8" s="6"/>
      <c r="B8" s="6"/>
      <c r="C8" s="43"/>
      <c r="D8" s="6"/>
      <c r="E8" s="7"/>
      <c r="F8" s="7"/>
      <c r="G8" s="12"/>
      <c r="H8" s="13"/>
      <c r="I8" s="44"/>
      <c r="J8" s="12"/>
      <c r="K8" s="7"/>
      <c r="L8" s="7"/>
      <c r="M8" s="7"/>
      <c r="N8" s="45"/>
    </row>
    <row r="9" spans="1:19" x14ac:dyDescent="0.3">
      <c r="A9" s="6"/>
      <c r="B9" s="6"/>
      <c r="C9" s="43"/>
      <c r="D9" s="6"/>
      <c r="E9" s="7" t="s">
        <v>940</v>
      </c>
      <c r="F9" s="7"/>
      <c r="G9" s="12"/>
      <c r="H9" s="13">
        <v>0</v>
      </c>
      <c r="I9" s="44">
        <v>0</v>
      </c>
      <c r="J9" s="12"/>
      <c r="K9" s="15"/>
      <c r="L9" s="7"/>
      <c r="M9" s="7"/>
      <c r="N9" s="45"/>
    </row>
    <row r="10" spans="1:19" x14ac:dyDescent="0.3">
      <c r="A10" s="6"/>
      <c r="B10" s="6"/>
      <c r="C10" s="43"/>
      <c r="D10" s="6"/>
      <c r="E10" s="7"/>
      <c r="F10" s="7"/>
      <c r="G10" s="12"/>
      <c r="H10" s="13"/>
      <c r="I10" s="44"/>
      <c r="J10" s="12"/>
      <c r="K10" s="15"/>
      <c r="L10" s="7"/>
      <c r="M10" s="7"/>
      <c r="N10" s="45"/>
    </row>
    <row r="11" spans="1:19" x14ac:dyDescent="0.3">
      <c r="A11" s="6"/>
      <c r="B11" s="6"/>
      <c r="C11" s="43"/>
      <c r="D11" s="6"/>
      <c r="E11" s="7"/>
      <c r="F11" s="7"/>
      <c r="G11" s="12"/>
      <c r="H11" s="13"/>
      <c r="I11" s="44"/>
      <c r="J11" s="12"/>
      <c r="K11" s="7"/>
      <c r="L11" s="7"/>
      <c r="M11" s="7"/>
      <c r="N11" s="45"/>
    </row>
    <row r="12" spans="1:19" x14ac:dyDescent="0.3">
      <c r="A12" s="6"/>
      <c r="B12" s="6"/>
      <c r="C12" s="43"/>
      <c r="D12" s="6"/>
      <c r="E12" s="7" t="s">
        <v>162</v>
      </c>
      <c r="F12" s="7"/>
      <c r="G12" s="12"/>
      <c r="H12" s="13">
        <v>0</v>
      </c>
      <c r="I12" s="44">
        <v>0</v>
      </c>
      <c r="J12" s="12"/>
      <c r="K12" s="7"/>
      <c r="L12" s="7"/>
      <c r="M12" s="7"/>
      <c r="N12" s="45"/>
    </row>
    <row r="13" spans="1:19" x14ac:dyDescent="0.3">
      <c r="A13" s="6"/>
      <c r="B13" s="6"/>
      <c r="C13" s="43"/>
      <c r="D13" s="6"/>
      <c r="E13" s="7"/>
      <c r="F13" s="7"/>
      <c r="G13" s="12"/>
      <c r="H13" s="13"/>
      <c r="I13" s="44"/>
      <c r="J13" s="12"/>
      <c r="K13" s="15"/>
      <c r="L13" s="7"/>
      <c r="M13" s="7"/>
    </row>
    <row r="14" spans="1:19" x14ac:dyDescent="0.3">
      <c r="A14" s="6"/>
      <c r="B14" s="6"/>
      <c r="C14" s="43"/>
      <c r="D14" s="6"/>
      <c r="E14" s="7"/>
      <c r="F14" s="7"/>
      <c r="G14" s="12"/>
      <c r="H14" s="13"/>
      <c r="I14" s="44"/>
      <c r="J14" s="12"/>
      <c r="K14" s="15"/>
      <c r="L14" s="7"/>
      <c r="M14" s="7"/>
    </row>
    <row r="15" spans="1:19" x14ac:dyDescent="0.3">
      <c r="A15" s="6"/>
      <c r="B15" s="6"/>
      <c r="C15" s="43"/>
      <c r="D15" s="6"/>
      <c r="E15" s="7" t="s">
        <v>172</v>
      </c>
      <c r="F15" s="7"/>
      <c r="G15" s="12"/>
      <c r="H15" s="13">
        <v>0</v>
      </c>
      <c r="I15" s="44">
        <v>0</v>
      </c>
      <c r="J15" s="12"/>
      <c r="K15" s="7"/>
      <c r="L15" s="7"/>
      <c r="M15" s="7"/>
      <c r="N15" s="45"/>
      <c r="S15" s="2"/>
    </row>
    <row r="16" spans="1:19" x14ac:dyDescent="0.3">
      <c r="A16" s="6"/>
      <c r="B16" s="6"/>
      <c r="C16" s="43"/>
      <c r="D16" s="6"/>
      <c r="E16" s="7"/>
      <c r="F16" s="7"/>
      <c r="G16" s="12"/>
      <c r="H16" s="13"/>
      <c r="I16" s="44"/>
      <c r="J16" s="12"/>
      <c r="K16" s="15"/>
      <c r="L16" s="7"/>
      <c r="M16" s="7"/>
      <c r="N16" s="45"/>
    </row>
    <row r="17" spans="1:19" x14ac:dyDescent="0.3">
      <c r="A17" s="6"/>
      <c r="B17" s="6"/>
      <c r="C17" s="43"/>
      <c r="D17" s="6"/>
      <c r="E17" s="7"/>
      <c r="F17" s="7"/>
      <c r="G17" s="12"/>
      <c r="H17" s="13"/>
      <c r="I17" s="44"/>
      <c r="J17" s="12"/>
      <c r="K17" s="7"/>
      <c r="L17" s="7"/>
      <c r="M17" s="7"/>
      <c r="N17" s="45"/>
    </row>
    <row r="18" spans="1:19" x14ac:dyDescent="0.3">
      <c r="A18" s="6"/>
      <c r="B18" s="6"/>
      <c r="C18" s="43"/>
      <c r="D18" s="6"/>
      <c r="E18" s="7"/>
      <c r="F18" s="7"/>
      <c r="G18" s="12"/>
      <c r="H18" s="13"/>
      <c r="I18" s="44"/>
      <c r="J18" s="12"/>
      <c r="K18" s="7"/>
      <c r="L18" s="7"/>
      <c r="M18" s="7"/>
      <c r="N18" s="45"/>
    </row>
    <row r="19" spans="1:19" x14ac:dyDescent="0.3">
      <c r="A19" s="6"/>
      <c r="B19" s="6"/>
      <c r="C19" s="125"/>
      <c r="D19" s="6"/>
      <c r="E19" s="7" t="s">
        <v>54</v>
      </c>
      <c r="F19" s="7"/>
      <c r="G19" s="12"/>
      <c r="H19" s="44">
        <v>0</v>
      </c>
      <c r="I19" s="44">
        <v>0</v>
      </c>
      <c r="J19" s="12"/>
      <c r="K19" s="7"/>
      <c r="L19" s="7"/>
      <c r="M19" s="7"/>
      <c r="Q19" s="2" t="s">
        <v>741</v>
      </c>
      <c r="R19" t="s">
        <v>741</v>
      </c>
      <c r="S19" s="2"/>
    </row>
    <row r="20" spans="1:19" x14ac:dyDescent="0.3">
      <c r="A20" s="6"/>
      <c r="B20" s="6"/>
      <c r="C20" s="7"/>
      <c r="D20" s="6"/>
      <c r="E20" s="7"/>
      <c r="F20" s="7"/>
      <c r="G20" s="12"/>
      <c r="H20" s="13"/>
      <c r="I20" s="44"/>
      <c r="J20" s="12"/>
      <c r="K20" s="15"/>
      <c r="L20" s="7"/>
      <c r="M20" s="7"/>
    </row>
    <row r="21" spans="1:19" x14ac:dyDescent="0.3">
      <c r="A21" s="6"/>
      <c r="B21" s="6"/>
      <c r="C21" s="43"/>
      <c r="D21" s="6"/>
      <c r="E21" s="7"/>
      <c r="F21" s="7"/>
      <c r="G21" s="12"/>
      <c r="H21" s="13"/>
      <c r="I21" s="44"/>
      <c r="J21" s="12"/>
      <c r="K21" s="7"/>
      <c r="L21" s="7"/>
      <c r="M21" s="7"/>
      <c r="N21" s="45"/>
      <c r="S21" s="2"/>
    </row>
    <row r="22" spans="1:19" x14ac:dyDescent="0.3">
      <c r="A22" s="6"/>
      <c r="B22" s="6"/>
      <c r="C22" s="48"/>
      <c r="D22" s="6"/>
      <c r="E22" s="7" t="s">
        <v>173</v>
      </c>
      <c r="F22" s="7"/>
      <c r="G22" s="12"/>
      <c r="H22" s="44"/>
      <c r="I22" s="44"/>
      <c r="J22" s="12"/>
      <c r="K22" s="15"/>
      <c r="L22" s="7"/>
      <c r="M22" s="7"/>
      <c r="N22" s="45"/>
    </row>
    <row r="23" spans="1:19" x14ac:dyDescent="0.3">
      <c r="A23" s="6"/>
      <c r="B23" s="6"/>
      <c r="C23" s="48"/>
      <c r="D23" s="6"/>
      <c r="E23" s="7"/>
      <c r="F23" s="7"/>
      <c r="G23" s="12"/>
      <c r="H23" s="13"/>
      <c r="I23" s="44"/>
      <c r="J23" s="12"/>
      <c r="K23" s="7"/>
      <c r="L23" s="7"/>
      <c r="M23" s="7"/>
      <c r="N23" s="45"/>
    </row>
    <row r="24" spans="1:19" x14ac:dyDescent="0.3">
      <c r="A24" s="6"/>
      <c r="B24" s="6"/>
      <c r="C24" s="43"/>
      <c r="D24" s="6"/>
      <c r="E24" s="7"/>
      <c r="F24" s="7"/>
      <c r="G24" s="12"/>
      <c r="H24" s="13"/>
      <c r="I24" s="44"/>
      <c r="J24" s="12"/>
      <c r="K24" s="7"/>
      <c r="L24" s="7"/>
      <c r="M24" s="7"/>
      <c r="N24" s="164"/>
    </row>
    <row r="25" spans="1:19" x14ac:dyDescent="0.3">
      <c r="A25" s="6"/>
      <c r="B25" s="6"/>
      <c r="C25" s="43"/>
      <c r="D25" s="6"/>
      <c r="E25" s="7" t="s">
        <v>396</v>
      </c>
      <c r="F25" s="7"/>
      <c r="G25" s="12"/>
      <c r="H25" s="13"/>
      <c r="I25" s="44"/>
      <c r="J25" s="12"/>
      <c r="K25" s="7"/>
      <c r="L25" s="7"/>
      <c r="M25" s="7"/>
      <c r="N25" s="45"/>
    </row>
    <row r="26" spans="1:19" x14ac:dyDescent="0.3">
      <c r="A26" s="6"/>
      <c r="B26" s="6"/>
      <c r="C26" s="43"/>
      <c r="D26" s="6"/>
      <c r="E26" s="7"/>
      <c r="F26" s="7"/>
      <c r="G26" s="12"/>
      <c r="H26" s="13"/>
      <c r="I26" s="13"/>
      <c r="J26" s="12"/>
      <c r="K26" s="7"/>
      <c r="L26" s="7"/>
      <c r="M26" s="7"/>
      <c r="N26" s="45"/>
    </row>
    <row r="27" spans="1:19" x14ac:dyDescent="0.3">
      <c r="A27" s="6"/>
      <c r="B27" s="6"/>
      <c r="C27" s="43"/>
      <c r="D27" s="6"/>
      <c r="E27" s="7"/>
      <c r="F27" s="7"/>
      <c r="G27" s="12"/>
      <c r="H27" s="13"/>
      <c r="I27" s="13"/>
      <c r="J27" s="12"/>
      <c r="K27" s="7"/>
      <c r="L27" s="7"/>
      <c r="M27" s="7"/>
      <c r="N27" s="45"/>
    </row>
    <row r="28" spans="1:19" x14ac:dyDescent="0.3">
      <c r="A28" s="6" t="s">
        <v>1205</v>
      </c>
      <c r="B28" s="6" t="s">
        <v>379</v>
      </c>
      <c r="C28" s="43">
        <v>16</v>
      </c>
      <c r="D28" s="6" t="s">
        <v>1204</v>
      </c>
      <c r="E28" s="7" t="s">
        <v>380</v>
      </c>
      <c r="F28" s="7" t="s">
        <v>1201</v>
      </c>
      <c r="G28" s="12" t="s">
        <v>1202</v>
      </c>
      <c r="H28" s="13">
        <v>22998.560000000001</v>
      </c>
      <c r="I28" s="44"/>
      <c r="J28" s="12" t="s">
        <v>1203</v>
      </c>
      <c r="K28" s="7"/>
      <c r="L28" s="7"/>
      <c r="M28" s="7"/>
      <c r="N28" s="45"/>
    </row>
    <row r="29" spans="1:19" x14ac:dyDescent="0.3">
      <c r="A29" s="6"/>
      <c r="B29" s="6"/>
      <c r="C29" s="43"/>
      <c r="D29" s="6"/>
      <c r="E29" s="7"/>
      <c r="F29" s="7"/>
      <c r="G29" s="12"/>
      <c r="H29" s="13"/>
      <c r="I29" s="44"/>
      <c r="J29" s="12"/>
      <c r="K29" s="15"/>
      <c r="L29" s="7"/>
      <c r="M29" s="7"/>
      <c r="N29" s="45"/>
    </row>
    <row r="30" spans="1:19" x14ac:dyDescent="0.3">
      <c r="A30" s="6"/>
      <c r="B30" s="6"/>
      <c r="C30" s="43"/>
      <c r="D30" s="6"/>
      <c r="E30" s="7"/>
      <c r="F30" s="7"/>
      <c r="G30" s="12"/>
      <c r="H30" s="13"/>
      <c r="I30" s="44"/>
      <c r="J30" s="12"/>
      <c r="K30" s="15"/>
      <c r="L30" s="7"/>
      <c r="M30" s="7"/>
      <c r="N30" s="45"/>
    </row>
    <row r="31" spans="1:19" x14ac:dyDescent="0.3">
      <c r="A31" s="6" t="s">
        <v>979</v>
      </c>
      <c r="B31" s="6" t="s">
        <v>379</v>
      </c>
      <c r="C31" s="43"/>
      <c r="D31" s="6" t="s">
        <v>981</v>
      </c>
      <c r="E31" s="7" t="s">
        <v>676</v>
      </c>
      <c r="F31" s="7">
        <v>22100316</v>
      </c>
      <c r="G31" s="12" t="s">
        <v>980</v>
      </c>
      <c r="H31" s="13">
        <v>9260</v>
      </c>
      <c r="I31" s="44"/>
      <c r="J31" s="12" t="s">
        <v>1231</v>
      </c>
      <c r="K31" s="182"/>
      <c r="L31" s="7"/>
      <c r="M31" s="7"/>
      <c r="N31" s="45"/>
    </row>
    <row r="32" spans="1:19" x14ac:dyDescent="0.3">
      <c r="A32" s="6"/>
      <c r="B32" s="6"/>
      <c r="C32" s="48"/>
      <c r="D32" s="6"/>
      <c r="E32" s="7"/>
      <c r="F32" s="7"/>
      <c r="G32" s="12"/>
      <c r="H32" s="13"/>
      <c r="I32" s="44"/>
      <c r="J32" s="12"/>
      <c r="K32" s="15"/>
      <c r="L32" s="7"/>
      <c r="M32" s="7"/>
      <c r="N32" s="45"/>
    </row>
    <row r="33" spans="1:14" x14ac:dyDescent="0.3">
      <c r="A33" s="6"/>
      <c r="B33" s="6"/>
      <c r="C33" s="43"/>
      <c r="D33" s="6"/>
      <c r="E33" s="7"/>
      <c r="F33" s="7"/>
      <c r="G33" s="12"/>
      <c r="H33" s="13"/>
      <c r="I33" s="44"/>
      <c r="J33" s="12"/>
      <c r="K33" s="15"/>
      <c r="L33" s="7"/>
      <c r="M33" s="7"/>
      <c r="N33" s="45"/>
    </row>
    <row r="34" spans="1:14" x14ac:dyDescent="0.3">
      <c r="A34" s="6"/>
      <c r="B34" s="6"/>
      <c r="C34" s="48"/>
      <c r="D34" s="6"/>
      <c r="E34" s="7" t="s">
        <v>11</v>
      </c>
      <c r="F34" s="7"/>
      <c r="G34" s="12"/>
      <c r="H34" s="44"/>
      <c r="I34" s="44"/>
      <c r="J34" s="12"/>
      <c r="K34" s="7"/>
      <c r="L34" s="7"/>
      <c r="M34" s="7"/>
      <c r="N34" s="45"/>
    </row>
    <row r="35" spans="1:14" x14ac:dyDescent="0.3">
      <c r="A35" s="6"/>
      <c r="B35" s="6"/>
      <c r="C35" s="43"/>
      <c r="D35" s="6"/>
      <c r="E35" s="7"/>
      <c r="F35" s="7"/>
      <c r="G35" s="12"/>
      <c r="H35" s="13"/>
      <c r="I35" s="44"/>
      <c r="J35" s="12"/>
      <c r="K35" s="7"/>
      <c r="L35" s="7"/>
      <c r="M35" s="7"/>
      <c r="N35" s="50"/>
    </row>
    <row r="36" spans="1:14" x14ac:dyDescent="0.3">
      <c r="A36" s="6"/>
      <c r="B36" s="6"/>
      <c r="C36" s="43"/>
      <c r="D36" s="6"/>
      <c r="E36" s="7"/>
      <c r="F36" s="7"/>
      <c r="G36" s="12"/>
      <c r="H36" s="13"/>
      <c r="I36" s="44"/>
      <c r="J36" s="12"/>
      <c r="K36" s="7"/>
      <c r="L36" s="7"/>
      <c r="M36" s="7"/>
      <c r="N36" s="50"/>
    </row>
    <row r="37" spans="1:14" x14ac:dyDescent="0.3">
      <c r="A37" s="6"/>
      <c r="B37" s="6"/>
      <c r="C37" s="43"/>
      <c r="D37" s="6"/>
      <c r="E37" s="7" t="s">
        <v>732</v>
      </c>
      <c r="F37" s="7"/>
      <c r="G37" s="12"/>
      <c r="H37" s="13"/>
      <c r="I37" s="13"/>
      <c r="J37" s="12"/>
      <c r="K37" s="15"/>
      <c r="L37" s="7"/>
      <c r="M37" s="7"/>
      <c r="N37" s="45"/>
    </row>
    <row r="38" spans="1:14" x14ac:dyDescent="0.3">
      <c r="A38" s="6"/>
      <c r="B38" s="6"/>
      <c r="C38" s="43"/>
      <c r="D38" s="6"/>
      <c r="E38" s="7"/>
      <c r="F38" s="7"/>
      <c r="G38" s="12"/>
      <c r="H38" s="13"/>
      <c r="I38" s="13"/>
      <c r="J38" s="12"/>
      <c r="K38" s="15"/>
      <c r="L38" s="7"/>
      <c r="M38" s="7"/>
      <c r="N38" s="45"/>
    </row>
    <row r="39" spans="1:14" x14ac:dyDescent="0.3">
      <c r="A39" s="6"/>
      <c r="B39" s="6"/>
      <c r="C39" s="43"/>
      <c r="D39" s="6"/>
      <c r="E39" s="7"/>
      <c r="F39" s="7"/>
      <c r="G39" s="12"/>
      <c r="H39" s="13"/>
      <c r="I39" s="13"/>
      <c r="J39" s="12"/>
      <c r="K39" s="15"/>
      <c r="L39" s="7"/>
      <c r="M39" s="7"/>
      <c r="N39" s="45"/>
    </row>
    <row r="40" spans="1:14" x14ac:dyDescent="0.3">
      <c r="A40" s="6"/>
      <c r="B40" s="6"/>
      <c r="C40" s="43"/>
      <c r="D40" s="6"/>
      <c r="E40" s="7"/>
      <c r="F40" s="7"/>
      <c r="G40" s="12"/>
      <c r="H40" s="13"/>
      <c r="I40" s="13"/>
      <c r="J40" s="12"/>
      <c r="K40" s="15"/>
      <c r="L40" s="7"/>
      <c r="M40" s="7"/>
      <c r="N40" s="45"/>
    </row>
    <row r="41" spans="1:14" x14ac:dyDescent="0.3">
      <c r="A41" s="6"/>
      <c r="B41" s="6"/>
      <c r="C41" s="43"/>
      <c r="D41" s="6"/>
      <c r="E41" s="7" t="s">
        <v>767</v>
      </c>
      <c r="F41" s="7"/>
      <c r="G41" s="12"/>
      <c r="H41" s="13"/>
      <c r="I41" s="13"/>
      <c r="J41" s="12"/>
      <c r="K41" s="15"/>
      <c r="L41" s="7"/>
      <c r="M41" s="7"/>
      <c r="N41" s="45"/>
    </row>
    <row r="42" spans="1:14" x14ac:dyDescent="0.3">
      <c r="A42" s="6"/>
      <c r="B42" s="6"/>
      <c r="C42" s="43"/>
      <c r="D42" s="6"/>
      <c r="E42" s="7"/>
      <c r="F42" s="7"/>
      <c r="G42" s="12"/>
      <c r="H42" s="13"/>
      <c r="I42" s="13"/>
      <c r="J42" s="12"/>
      <c r="K42" s="15"/>
      <c r="L42" s="7"/>
      <c r="M42" s="7"/>
      <c r="N42" s="45"/>
    </row>
    <row r="43" spans="1:14" x14ac:dyDescent="0.3">
      <c r="A43" s="6"/>
      <c r="B43" s="6"/>
      <c r="C43" s="48"/>
      <c r="D43" s="6"/>
      <c r="E43" s="7" t="s">
        <v>808</v>
      </c>
      <c r="F43" s="7"/>
      <c r="G43" s="12"/>
      <c r="H43" s="44"/>
      <c r="I43" s="44"/>
      <c r="J43" s="12"/>
      <c r="K43" s="7"/>
      <c r="L43" s="7"/>
      <c r="M43" s="7"/>
      <c r="N43" s="161"/>
    </row>
    <row r="44" spans="1:14" x14ac:dyDescent="0.3">
      <c r="A44" s="6"/>
      <c r="B44" s="6"/>
      <c r="C44" s="48"/>
      <c r="D44" s="6"/>
      <c r="E44" s="7"/>
      <c r="F44" s="7"/>
      <c r="G44" s="12"/>
      <c r="H44" s="44"/>
      <c r="I44" s="44"/>
      <c r="J44" s="12"/>
      <c r="K44" s="7"/>
      <c r="L44" s="7"/>
      <c r="M44" s="7"/>
      <c r="N44" s="164"/>
    </row>
    <row r="45" spans="1:14" x14ac:dyDescent="0.3">
      <c r="A45" s="6"/>
      <c r="B45" s="6"/>
      <c r="C45" s="48"/>
      <c r="D45" s="6"/>
      <c r="E45" s="7"/>
      <c r="F45" s="7"/>
      <c r="G45" s="12"/>
      <c r="H45" s="44"/>
      <c r="I45" s="44"/>
      <c r="J45" s="12"/>
      <c r="K45" s="7"/>
      <c r="L45" s="7"/>
      <c r="M45" s="7"/>
      <c r="N45" s="164"/>
    </row>
    <row r="46" spans="1:14" x14ac:dyDescent="0.3">
      <c r="A46" s="6"/>
      <c r="B46" s="6"/>
      <c r="C46" s="43"/>
      <c r="D46" s="6"/>
      <c r="E46" s="7" t="s">
        <v>327</v>
      </c>
      <c r="F46" s="7"/>
      <c r="G46" s="12"/>
      <c r="H46" s="13"/>
      <c r="I46" s="44"/>
      <c r="J46" s="12"/>
      <c r="K46" s="7"/>
      <c r="L46" s="7"/>
      <c r="M46" s="7"/>
      <c r="N46" s="45"/>
    </row>
    <row r="47" spans="1:14" x14ac:dyDescent="0.3">
      <c r="A47" s="6"/>
      <c r="B47" s="6"/>
      <c r="C47" s="43"/>
      <c r="D47" s="6"/>
      <c r="E47" s="7"/>
      <c r="F47" s="7"/>
      <c r="G47" s="12"/>
      <c r="H47" s="13"/>
      <c r="I47" s="13"/>
      <c r="J47" s="12"/>
      <c r="K47" s="7"/>
      <c r="L47" s="7"/>
      <c r="M47" s="7"/>
      <c r="N47" s="45"/>
    </row>
    <row r="48" spans="1:14" x14ac:dyDescent="0.3">
      <c r="A48" s="6"/>
      <c r="B48" s="6"/>
      <c r="C48" s="43"/>
      <c r="D48" s="6"/>
      <c r="E48" s="7"/>
      <c r="F48" s="7"/>
      <c r="G48" s="12"/>
      <c r="H48" s="13"/>
      <c r="I48" s="13"/>
      <c r="J48" s="12"/>
      <c r="K48" s="7"/>
      <c r="L48" s="7"/>
      <c r="M48" s="7"/>
      <c r="N48" s="45"/>
    </row>
    <row r="49" spans="1:19" x14ac:dyDescent="0.3">
      <c r="A49" s="6"/>
      <c r="B49" s="6"/>
      <c r="C49" s="43"/>
      <c r="D49" s="6"/>
      <c r="E49" s="7" t="s">
        <v>328</v>
      </c>
      <c r="F49" s="7"/>
      <c r="G49" s="12"/>
      <c r="H49" s="13"/>
      <c r="I49" s="44"/>
      <c r="J49" s="12"/>
      <c r="K49" s="7"/>
      <c r="L49" s="7"/>
      <c r="M49" s="7"/>
      <c r="N49" s="45"/>
    </row>
    <row r="50" spans="1:19" x14ac:dyDescent="0.3">
      <c r="A50" s="6"/>
      <c r="B50" s="6"/>
      <c r="C50" s="43"/>
      <c r="D50" s="6"/>
      <c r="E50" s="7"/>
      <c r="F50" s="7"/>
      <c r="G50" s="12"/>
      <c r="H50" s="13"/>
      <c r="I50" s="44"/>
      <c r="J50" s="12"/>
      <c r="K50" s="7"/>
      <c r="L50" s="7"/>
      <c r="M50" s="7"/>
      <c r="N50" s="45"/>
    </row>
    <row r="51" spans="1:19" x14ac:dyDescent="0.3">
      <c r="A51" s="6"/>
      <c r="B51" s="6"/>
      <c r="C51" s="43"/>
      <c r="D51" s="6"/>
      <c r="E51" s="7"/>
      <c r="F51" s="7"/>
      <c r="G51" s="12"/>
      <c r="H51" s="13"/>
      <c r="I51" s="44"/>
      <c r="J51" s="12"/>
      <c r="K51" s="7"/>
      <c r="L51" s="7"/>
      <c r="M51" s="7"/>
      <c r="N51" s="45"/>
    </row>
    <row r="52" spans="1:19" x14ac:dyDescent="0.3">
      <c r="A52" s="6"/>
      <c r="B52" s="6"/>
      <c r="C52" s="43"/>
      <c r="D52" s="6"/>
      <c r="E52" s="7" t="s">
        <v>545</v>
      </c>
      <c r="F52" s="7"/>
      <c r="G52" s="12"/>
      <c r="H52" s="13"/>
      <c r="I52" s="13"/>
      <c r="J52" s="12"/>
      <c r="K52" s="7"/>
      <c r="L52" s="7"/>
      <c r="M52" s="7"/>
      <c r="N52" s="45"/>
    </row>
    <row r="53" spans="1:19" x14ac:dyDescent="0.3">
      <c r="A53" s="6"/>
      <c r="B53" s="6"/>
      <c r="C53" s="43"/>
      <c r="D53" s="6"/>
      <c r="E53" s="7"/>
      <c r="F53" s="7"/>
      <c r="G53" s="12"/>
      <c r="H53" s="13"/>
      <c r="I53" s="13"/>
      <c r="J53" s="12"/>
      <c r="K53" s="7"/>
      <c r="L53" s="7"/>
      <c r="M53" s="7"/>
      <c r="N53" s="45"/>
    </row>
    <row r="54" spans="1:19" x14ac:dyDescent="0.3">
      <c r="A54" s="6"/>
      <c r="B54" s="6"/>
      <c r="C54" s="43"/>
      <c r="D54" s="6"/>
      <c r="E54" s="7"/>
      <c r="F54" s="7"/>
      <c r="G54" s="12"/>
      <c r="H54" s="13"/>
      <c r="I54" s="13"/>
      <c r="J54" s="12"/>
      <c r="K54" s="7"/>
      <c r="L54" s="7"/>
      <c r="M54" s="7"/>
      <c r="N54" s="45"/>
    </row>
    <row r="55" spans="1:19" ht="14.25" customHeight="1" x14ac:dyDescent="0.3">
      <c r="A55" s="6" t="s">
        <v>913</v>
      </c>
      <c r="B55" s="6" t="s">
        <v>370</v>
      </c>
      <c r="C55" s="43"/>
      <c r="D55" s="6" t="s">
        <v>914</v>
      </c>
      <c r="E55" s="7" t="s">
        <v>409</v>
      </c>
      <c r="F55" s="7">
        <v>22100269</v>
      </c>
      <c r="G55" s="12" t="s">
        <v>649</v>
      </c>
      <c r="H55" s="13">
        <f>48607.84-5562.23</f>
        <v>43045.61</v>
      </c>
      <c r="I55" s="44">
        <v>0</v>
      </c>
      <c r="J55" s="12" t="s">
        <v>322</v>
      </c>
      <c r="K55" s="15">
        <v>44218</v>
      </c>
      <c r="L55" s="7">
        <v>241068</v>
      </c>
      <c r="M55" s="7" t="s">
        <v>362</v>
      </c>
      <c r="N55" s="45"/>
      <c r="Q55" s="2"/>
      <c r="S55" s="2"/>
    </row>
    <row r="56" spans="1:19" x14ac:dyDescent="0.3">
      <c r="A56" s="6"/>
      <c r="B56" s="6"/>
      <c r="C56" s="43"/>
      <c r="D56" s="6"/>
      <c r="E56" s="7"/>
      <c r="F56" s="7"/>
      <c r="G56" s="12"/>
      <c r="H56" s="13"/>
      <c r="I56" s="44"/>
      <c r="J56" s="12"/>
      <c r="K56" s="7"/>
      <c r="L56" s="7"/>
      <c r="M56" s="7"/>
      <c r="N56" s="45"/>
      <c r="Q56" s="2"/>
      <c r="S56" s="2"/>
    </row>
    <row r="57" spans="1:19" x14ac:dyDescent="0.3">
      <c r="A57" s="6"/>
      <c r="B57" s="6"/>
      <c r="C57" s="43"/>
      <c r="D57" s="6"/>
      <c r="E57" s="7"/>
      <c r="F57" s="7"/>
      <c r="G57" s="12"/>
      <c r="H57" s="13"/>
      <c r="I57" s="44"/>
      <c r="J57" s="12"/>
      <c r="K57" s="7"/>
      <c r="L57" s="7"/>
      <c r="M57" s="7"/>
      <c r="N57" s="45"/>
    </row>
    <row r="58" spans="1:19" x14ac:dyDescent="0.3">
      <c r="A58" s="6"/>
      <c r="B58" s="6"/>
      <c r="C58" s="43"/>
      <c r="D58" s="6"/>
      <c r="E58" s="7" t="s">
        <v>509</v>
      </c>
      <c r="F58" s="7"/>
      <c r="G58" s="12"/>
      <c r="H58" s="13"/>
      <c r="I58" s="44"/>
      <c r="J58" s="12"/>
      <c r="K58" s="7"/>
      <c r="L58" s="7"/>
      <c r="M58" s="7"/>
      <c r="N58" s="165"/>
    </row>
    <row r="59" spans="1:19" x14ac:dyDescent="0.3">
      <c r="A59" s="6"/>
      <c r="B59" s="6"/>
      <c r="C59" s="43"/>
      <c r="D59" s="6"/>
      <c r="E59" s="7"/>
      <c r="F59" s="7"/>
      <c r="G59" s="12"/>
      <c r="H59" s="13"/>
      <c r="I59" s="44"/>
      <c r="J59" s="12"/>
      <c r="K59" s="7"/>
      <c r="L59" s="7"/>
      <c r="M59" s="7"/>
      <c r="N59" s="50"/>
    </row>
    <row r="60" spans="1:19" x14ac:dyDescent="0.3">
      <c r="A60" s="6"/>
      <c r="B60" s="6"/>
      <c r="C60" s="43"/>
      <c r="D60" s="6"/>
      <c r="E60" s="7"/>
      <c r="F60" s="7"/>
      <c r="G60" s="12"/>
      <c r="H60" s="13"/>
      <c r="I60" s="44"/>
      <c r="J60" s="12"/>
      <c r="K60" s="7"/>
      <c r="L60" s="7"/>
      <c r="M60" s="7"/>
      <c r="N60" s="45"/>
      <c r="S60" s="2"/>
    </row>
    <row r="61" spans="1:19" x14ac:dyDescent="0.3">
      <c r="A61" s="6"/>
      <c r="B61" s="6"/>
      <c r="C61" s="43"/>
      <c r="D61" s="6"/>
      <c r="E61" s="7" t="s">
        <v>1218</v>
      </c>
      <c r="F61" s="7"/>
      <c r="G61" s="12"/>
      <c r="H61" s="13"/>
      <c r="I61" s="44"/>
      <c r="J61" s="12"/>
      <c r="K61" s="7"/>
      <c r="L61" s="7"/>
      <c r="M61" s="7"/>
      <c r="N61" s="45"/>
      <c r="S61" s="2"/>
    </row>
    <row r="62" spans="1:19" x14ac:dyDescent="0.3">
      <c r="A62" s="6"/>
      <c r="B62" s="6"/>
      <c r="C62" s="43"/>
      <c r="D62" s="6"/>
      <c r="E62" s="7"/>
      <c r="F62" s="7"/>
      <c r="G62" s="12"/>
      <c r="H62" s="13"/>
      <c r="I62" s="44"/>
      <c r="J62" s="12"/>
      <c r="K62" s="7"/>
      <c r="L62" s="7"/>
      <c r="M62" s="7"/>
      <c r="N62" s="45"/>
      <c r="S62" s="2"/>
    </row>
    <row r="63" spans="1:19" x14ac:dyDescent="0.3">
      <c r="A63" s="6"/>
      <c r="B63" s="6"/>
      <c r="C63" s="43"/>
      <c r="D63" s="6"/>
      <c r="E63" s="7" t="s">
        <v>782</v>
      </c>
      <c r="F63" s="7"/>
      <c r="G63" s="12"/>
      <c r="H63" s="13"/>
      <c r="I63" s="44"/>
      <c r="J63" s="12"/>
      <c r="K63" s="15"/>
      <c r="L63" s="7"/>
      <c r="M63" s="7"/>
      <c r="N63" s="50"/>
    </row>
    <row r="64" spans="1:19" x14ac:dyDescent="0.3">
      <c r="A64" s="6"/>
      <c r="B64" s="6"/>
      <c r="C64" s="43"/>
      <c r="D64" s="6"/>
      <c r="E64" s="7"/>
      <c r="F64" s="7"/>
      <c r="G64" s="12"/>
      <c r="H64" s="13"/>
      <c r="I64" s="44"/>
      <c r="J64" s="12"/>
      <c r="K64" s="15"/>
      <c r="L64" s="7"/>
      <c r="M64" s="7"/>
      <c r="N64" s="50"/>
    </row>
    <row r="65" spans="1:19" x14ac:dyDescent="0.3">
      <c r="A65" s="6"/>
      <c r="B65" s="6"/>
      <c r="C65" s="43"/>
      <c r="D65" s="6"/>
      <c r="E65" s="7"/>
      <c r="F65" s="7"/>
      <c r="G65" s="12"/>
      <c r="H65" s="13"/>
      <c r="I65" s="44"/>
      <c r="J65" s="12"/>
      <c r="K65" s="15"/>
      <c r="L65" s="7"/>
      <c r="M65" s="7"/>
      <c r="N65" s="50"/>
    </row>
    <row r="66" spans="1:19" x14ac:dyDescent="0.3">
      <c r="A66" s="6"/>
      <c r="B66" s="6"/>
      <c r="C66" s="43"/>
      <c r="D66" s="6"/>
      <c r="E66" s="7" t="s">
        <v>329</v>
      </c>
      <c r="F66" s="7"/>
      <c r="G66" s="12"/>
      <c r="H66" s="13"/>
      <c r="I66" s="13"/>
      <c r="J66" s="12"/>
      <c r="K66" s="7"/>
      <c r="L66" s="7"/>
      <c r="M66" s="7"/>
      <c r="N66" s="45"/>
    </row>
    <row r="67" spans="1:19" x14ac:dyDescent="0.3">
      <c r="A67" s="6"/>
      <c r="B67" s="6"/>
      <c r="C67" s="43"/>
      <c r="D67" s="6"/>
      <c r="E67" s="7"/>
      <c r="F67" s="7"/>
      <c r="G67" s="12"/>
      <c r="H67" s="13"/>
      <c r="I67" s="13"/>
      <c r="J67" s="12"/>
      <c r="K67" s="7"/>
      <c r="L67" s="7"/>
      <c r="M67" s="7"/>
      <c r="N67" s="45"/>
    </row>
    <row r="68" spans="1:19" x14ac:dyDescent="0.3">
      <c r="A68" s="6"/>
      <c r="B68" s="6"/>
      <c r="C68" s="43"/>
      <c r="D68" s="6"/>
      <c r="E68" s="7"/>
      <c r="F68" s="7"/>
      <c r="G68" s="12"/>
      <c r="H68" s="13"/>
      <c r="I68" s="13"/>
      <c r="J68" s="12"/>
      <c r="K68" s="7"/>
      <c r="L68" s="7"/>
      <c r="M68" s="7"/>
      <c r="N68" s="45"/>
    </row>
    <row r="69" spans="1:19" x14ac:dyDescent="0.3">
      <c r="A69" s="6"/>
      <c r="B69" s="6"/>
      <c r="C69" s="43"/>
      <c r="D69" s="6"/>
      <c r="E69" s="7" t="s">
        <v>651</v>
      </c>
      <c r="F69" s="7"/>
      <c r="G69" s="12"/>
      <c r="H69" s="13"/>
      <c r="I69" s="13"/>
      <c r="J69" s="12"/>
      <c r="K69" s="15"/>
      <c r="L69" s="7"/>
      <c r="M69" s="7"/>
      <c r="N69" s="45"/>
    </row>
    <row r="70" spans="1:19" x14ac:dyDescent="0.3">
      <c r="A70" s="6"/>
      <c r="B70" s="6"/>
      <c r="C70" s="43"/>
      <c r="D70" s="6"/>
      <c r="E70" s="7"/>
      <c r="F70" s="7"/>
      <c r="G70" s="12"/>
      <c r="H70" s="13"/>
      <c r="I70" s="13"/>
      <c r="J70" s="12"/>
      <c r="K70" s="15"/>
      <c r="L70" s="7"/>
      <c r="M70" s="7"/>
      <c r="N70" s="45"/>
      <c r="S70" s="2"/>
    </row>
    <row r="71" spans="1:19" x14ac:dyDescent="0.3">
      <c r="A71" s="6"/>
      <c r="B71" s="6"/>
      <c r="C71" s="43"/>
      <c r="D71" s="6"/>
      <c r="E71" s="7"/>
      <c r="F71" s="7"/>
      <c r="G71" s="12"/>
      <c r="H71" s="13"/>
      <c r="I71" s="13"/>
      <c r="J71" s="12"/>
      <c r="K71" s="15"/>
      <c r="L71" s="7"/>
      <c r="M71" s="7"/>
      <c r="N71" s="45"/>
    </row>
    <row r="72" spans="1:19" x14ac:dyDescent="0.3">
      <c r="A72" s="6"/>
      <c r="B72" s="6"/>
      <c r="C72" s="43"/>
      <c r="D72" s="6"/>
      <c r="E72" s="7"/>
      <c r="F72" s="7"/>
      <c r="G72" s="12"/>
      <c r="H72" s="13"/>
      <c r="I72" s="13"/>
      <c r="J72" s="12"/>
      <c r="K72" s="7"/>
      <c r="L72" s="7"/>
      <c r="M72" s="7"/>
    </row>
    <row r="73" spans="1:19" x14ac:dyDescent="0.3">
      <c r="H73" s="9">
        <f>SUM(H6:H72)</f>
        <v>75304.17</v>
      </c>
      <c r="I73" s="9">
        <f>SUM(I6:I72)</f>
        <v>0</v>
      </c>
      <c r="L73" s="128" t="s">
        <v>548</v>
      </c>
      <c r="M73" s="129"/>
    </row>
    <row r="74" spans="1:19" x14ac:dyDescent="0.3">
      <c r="G74" s="47" t="s">
        <v>28</v>
      </c>
      <c r="H74" s="9">
        <v>75304.17</v>
      </c>
      <c r="I74" s="9">
        <v>0</v>
      </c>
    </row>
    <row r="75" spans="1:19" x14ac:dyDescent="0.3">
      <c r="G75" s="47" t="s">
        <v>303</v>
      </c>
      <c r="H75" s="9">
        <f>H74-H73</f>
        <v>0</v>
      </c>
      <c r="I75" s="9">
        <f>I74-I73</f>
        <v>0</v>
      </c>
    </row>
    <row r="77" spans="1:19" x14ac:dyDescent="0.3">
      <c r="G77" s="8" t="s">
        <v>13</v>
      </c>
      <c r="H77" s="9">
        <f>SUMIF($B$6:$B72,"Fire Dept Adm",$H$6:$H72)</f>
        <v>0</v>
      </c>
      <c r="I77" s="9">
        <f>SUMIF($B$6:$B72,"Fire Dept Adm",$I$6:$I72)</f>
        <v>0</v>
      </c>
    </row>
    <row r="78" spans="1:19" x14ac:dyDescent="0.3">
      <c r="G78" s="8" t="s">
        <v>574</v>
      </c>
      <c r="H78" s="9">
        <f>SUMIF($B$6:$B$72,"OEM",$H$6:$H$72)</f>
        <v>0</v>
      </c>
      <c r="I78" s="9">
        <f>SUMIF($B$6:$B$72,"OEM",$I$6:$I$72)</f>
        <v>0</v>
      </c>
    </row>
    <row r="79" spans="1:19" x14ac:dyDescent="0.3">
      <c r="G79" s="8" t="s">
        <v>46</v>
      </c>
      <c r="H79" s="9">
        <f>SUMIF($B$6:$B$72,"Police",$H$6:$H$72)</f>
        <v>0</v>
      </c>
      <c r="I79" s="9">
        <f>SUMIF($B$6:$B$72,"Police",$I$6:$I$72)</f>
        <v>0</v>
      </c>
    </row>
    <row r="80" spans="1:19" x14ac:dyDescent="0.3">
      <c r="G80" s="8" t="s">
        <v>195</v>
      </c>
      <c r="H80" s="9">
        <f>SUMIF($B$6:$B$72,"Public Works",$H$6:$H$72)</f>
        <v>0</v>
      </c>
      <c r="I80" s="9">
        <f>SUMIF($B$6:$B$72,"Public Works",$I$6:$I$72)</f>
        <v>0</v>
      </c>
    </row>
    <row r="81" spans="1:14" x14ac:dyDescent="0.3">
      <c r="G81" s="8" t="s">
        <v>280</v>
      </c>
      <c r="H81" s="9">
        <f>SUMIF($B$6:$B$72,"Commun Dev",$H$6:$H$72)</f>
        <v>0</v>
      </c>
      <c r="I81" s="9">
        <f>SUMIF($B$6:$B$72,"Commun Dev",$I$6:$I$72)</f>
        <v>0</v>
      </c>
    </row>
    <row r="82" spans="1:14" x14ac:dyDescent="0.3">
      <c r="G82" s="8" t="s">
        <v>161</v>
      </c>
      <c r="H82" s="9">
        <f>SUMIF($B$6:$B$72,"Parks &amp; Rec",$H$6:$H$72)</f>
        <v>0</v>
      </c>
      <c r="I82" s="9">
        <f>SUMIF($B$6:$B$72,"Parks &amp; Rec",$I$6:$I$72)</f>
        <v>0</v>
      </c>
    </row>
    <row r="83" spans="1:14" x14ac:dyDescent="0.3">
      <c r="G83" s="8" t="s">
        <v>293</v>
      </c>
      <c r="H83" s="9">
        <f>SUMIF($B$6:$B$72,"Library",$H$6:$H$72)</f>
        <v>0</v>
      </c>
      <c r="I83" s="9">
        <f>SUMIF($B$6:$B$72,"Library",$I$6:$I$72)</f>
        <v>0</v>
      </c>
    </row>
    <row r="84" spans="1:14" x14ac:dyDescent="0.3">
      <c r="G84" s="8" t="s">
        <v>377</v>
      </c>
      <c r="H84" s="9">
        <f>SUMIF($B$6:$B$72,"Neighb Life",$H$6:$H$72)</f>
        <v>0</v>
      </c>
      <c r="I84" s="9">
        <f>SUMIF($B$6:$B$72,"Neighb Life",$I$6:$I$72)</f>
        <v>0</v>
      </c>
    </row>
    <row r="85" spans="1:14" x14ac:dyDescent="0.3">
      <c r="G85" s="8" t="s">
        <v>310</v>
      </c>
      <c r="H85" s="9">
        <f>SUMIF($B$6:$B$72,"CM Office",$H$6:$H$72)</f>
        <v>0</v>
      </c>
      <c r="I85" s="9">
        <f>SUMIF($B$6:$B$72,"CM Office",$I$6:$I$72)</f>
        <v>0</v>
      </c>
    </row>
    <row r="86" spans="1:14" x14ac:dyDescent="0.3">
      <c r="G86" s="8" t="s">
        <v>305</v>
      </c>
      <c r="H86" s="9">
        <f>SUMIF($B$6:$B$72,"Public Info",$H$6:$H$72)</f>
        <v>0</v>
      </c>
      <c r="I86" s="9">
        <f>SUMIF($B$6:$B$72,"Public Info",$I$6:$I$72)</f>
        <v>0</v>
      </c>
    </row>
    <row r="87" spans="1:14" x14ac:dyDescent="0.3">
      <c r="G87" s="8" t="s">
        <v>212</v>
      </c>
      <c r="H87" s="9">
        <f>SUMIF($B$6:$B$72,"Court",$H$6:$H$72)</f>
        <v>0</v>
      </c>
      <c r="I87" s="9">
        <f>SUMIF($B$6:$B$72,"Court",$I$6:$I$72)</f>
        <v>0</v>
      </c>
    </row>
    <row r="88" spans="1:14" x14ac:dyDescent="0.3">
      <c r="G88" s="8" t="s">
        <v>379</v>
      </c>
      <c r="H88" s="9">
        <f>SUMIF($B$6:$B$72,"IT",$H$6:$H$72)</f>
        <v>32258.560000000001</v>
      </c>
      <c r="I88" s="9">
        <f>SUMIF($B$6:$B$72,"IT",$I$6:$I$72)</f>
        <v>0</v>
      </c>
    </row>
    <row r="89" spans="1:14" x14ac:dyDescent="0.3">
      <c r="G89" s="8" t="s">
        <v>647</v>
      </c>
      <c r="H89" s="9">
        <f>SUMIF($B$6:$B$72,"Econ Dev",$H$6:$H$72)</f>
        <v>0</v>
      </c>
      <c r="I89" s="9">
        <f>SUMIF($B$6:$B$72,"Econ Dev",$I$6:$I$72)</f>
        <v>0</v>
      </c>
    </row>
    <row r="90" spans="1:14" x14ac:dyDescent="0.3">
      <c r="G90" s="56" t="s">
        <v>397</v>
      </c>
      <c r="H90" s="9">
        <f>SUMIF($B$6:$B$72,"Unknown at this time",$H$6:$H$72)</f>
        <v>0</v>
      </c>
      <c r="I90" s="9">
        <f>SUMIF($B$6:$B$72,"Unknown at this time",$I$6:$I$72)</f>
        <v>0</v>
      </c>
    </row>
    <row r="91" spans="1:14" x14ac:dyDescent="0.3">
      <c r="G91" s="8" t="s">
        <v>378</v>
      </c>
      <c r="H91" s="9">
        <f>SUMIF($B$6:$B$72,"City-Wide",$H$6:$H$72)</f>
        <v>43045.61</v>
      </c>
      <c r="I91" s="9">
        <f>SUMIF($B$6:$B$72,"City-Wide",$I$6:$I$72)</f>
        <v>0</v>
      </c>
    </row>
    <row r="92" spans="1:14" x14ac:dyDescent="0.3">
      <c r="G92" s="8" t="s">
        <v>753</v>
      </c>
      <c r="H92" s="9">
        <f>SUMIF($B$6:$B$72,"Grant Rcls",$H$6:$H$72)</f>
        <v>0</v>
      </c>
      <c r="I92" s="9">
        <f>SUMIF($B$12:$B$72,"Grant Rcls",$I$12:$I$72)</f>
        <v>0</v>
      </c>
    </row>
    <row r="93" spans="1:14" x14ac:dyDescent="0.3">
      <c r="H93" s="51">
        <f>SUM(H77:H92)</f>
        <v>75304.17</v>
      </c>
      <c r="I93" s="51">
        <f>SUM(I77:I92)</f>
        <v>0</v>
      </c>
    </row>
    <row r="94" spans="1:14" x14ac:dyDescent="0.3">
      <c r="H94" s="20">
        <f>H74-H93</f>
        <v>0</v>
      </c>
      <c r="I94" s="20">
        <f>I74-I93</f>
        <v>0</v>
      </c>
    </row>
    <row r="95" spans="1:14" x14ac:dyDescent="0.3">
      <c r="H95" s="20"/>
      <c r="I95" s="20"/>
    </row>
    <row r="96" spans="1:14" ht="9.75" customHeight="1" x14ac:dyDescent="0.3">
      <c r="A96" s="52"/>
      <c r="B96" s="52"/>
      <c r="C96" s="53"/>
      <c r="D96" s="52"/>
      <c r="E96" s="53"/>
      <c r="F96" s="53"/>
      <c r="G96" s="54"/>
      <c r="H96" s="55"/>
      <c r="I96" s="55"/>
      <c r="J96" s="52"/>
      <c r="K96" s="53"/>
      <c r="L96" s="53"/>
      <c r="M96" s="52"/>
      <c r="N96" s="52"/>
    </row>
    <row r="97" spans="1:19" x14ac:dyDescent="0.3">
      <c r="A97" s="57" t="s">
        <v>190</v>
      </c>
    </row>
    <row r="98" spans="1:19" x14ac:dyDescent="0.3">
      <c r="A98" s="6"/>
      <c r="B98" s="6"/>
      <c r="C98" s="43"/>
      <c r="D98" s="6"/>
      <c r="E98" s="7"/>
      <c r="F98" s="7"/>
      <c r="G98" s="12"/>
      <c r="H98" s="13"/>
      <c r="I98" s="44"/>
      <c r="J98" s="12"/>
      <c r="K98" s="7"/>
      <c r="L98" s="7"/>
      <c r="M98" s="7"/>
      <c r="N98" s="45"/>
      <c r="S98" s="2"/>
    </row>
    <row r="99" spans="1:19" x14ac:dyDescent="0.3">
      <c r="A99" s="6"/>
      <c r="B99" s="6"/>
      <c r="C99" s="43"/>
      <c r="D99" s="6"/>
      <c r="E99" s="7"/>
      <c r="F99" s="7"/>
      <c r="G99" s="12"/>
      <c r="H99" s="13"/>
      <c r="I99" s="44"/>
      <c r="J99" s="12"/>
      <c r="K99" s="7"/>
      <c r="L99" s="7"/>
      <c r="M99" s="7"/>
      <c r="N99" s="45"/>
      <c r="S99" s="2"/>
    </row>
    <row r="100" spans="1:19" x14ac:dyDescent="0.3">
      <c r="A100" s="6"/>
      <c r="B100" s="6"/>
      <c r="C100" s="43"/>
      <c r="D100" s="6"/>
      <c r="E100" s="7"/>
      <c r="F100" s="7"/>
      <c r="G100" s="12"/>
      <c r="H100" s="13"/>
      <c r="I100" s="44"/>
      <c r="J100" s="12"/>
      <c r="K100" s="7"/>
      <c r="L100" s="7"/>
      <c r="M100" s="7"/>
      <c r="N100" s="45"/>
      <c r="S100" s="2"/>
    </row>
  </sheetData>
  <autoFilter ref="A4:S75" xr:uid="{6643C2E6-903E-450E-A16B-39C950B372EB}"/>
  <mergeCells count="3">
    <mergeCell ref="A1:D1"/>
    <mergeCell ref="A3:D3"/>
    <mergeCell ref="A5:C5"/>
  </mergeCells>
  <pageMargins left="0.25" right="0.25" top="1" bottom="0.75" header="0.3" footer="0.3"/>
  <pageSetup scale="48" fitToHeight="0" orientation="landscape" r:id="rId1"/>
  <headerFooter>
    <oddFooter>&amp;C&amp;Z&amp;F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A3A9-6B7A-448F-9B5C-84DC0CDC936B}">
  <sheetPr>
    <tabColor theme="3" tint="0.59999389629810485"/>
    <pageSetUpPr fitToPage="1"/>
  </sheetPr>
  <dimension ref="A1:S1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96" sqref="B96"/>
    </sheetView>
  </sheetViews>
  <sheetFormatPr defaultRowHeight="14.4" x14ac:dyDescent="0.3"/>
  <cols>
    <col min="1" max="1" width="41.44140625" bestFit="1" customWidth="1"/>
    <col min="2" max="2" width="14" customWidth="1"/>
    <col min="3" max="3" width="8" style="2" customWidth="1"/>
    <col min="4" max="4" width="32" customWidth="1"/>
    <col min="5" max="5" width="13.33203125" style="2" bestFit="1" customWidth="1"/>
    <col min="6" max="6" width="10" style="2" bestFit="1" customWidth="1"/>
    <col min="7" max="7" width="25" style="8" customWidth="1"/>
    <col min="8" max="8" width="12.33203125" style="9" bestFit="1" customWidth="1"/>
    <col min="9" max="9" width="12.5546875" style="9" bestFit="1" customWidth="1"/>
    <col min="10" max="10" width="16.33203125" bestFit="1" customWidth="1"/>
    <col min="11" max="11" width="12" style="2" bestFit="1" customWidth="1"/>
    <col min="12" max="12" width="14" style="2" customWidth="1"/>
    <col min="13" max="13" width="14.6640625" bestFit="1" customWidth="1"/>
    <col min="16" max="17" width="33.5546875" customWidth="1"/>
    <col min="18" max="18" width="28.44140625" customWidth="1"/>
  </cols>
  <sheetData>
    <row r="1" spans="1:19" x14ac:dyDescent="0.3">
      <c r="A1" s="189" t="s">
        <v>5</v>
      </c>
      <c r="B1" s="189"/>
      <c r="C1" s="189"/>
      <c r="D1" s="189"/>
    </row>
    <row r="2" spans="1:19" x14ac:dyDescent="0.3">
      <c r="A2" s="3"/>
      <c r="B2" s="3"/>
      <c r="C2" s="3"/>
      <c r="D2" s="3"/>
      <c r="M2" s="3" t="s">
        <v>155</v>
      </c>
    </row>
    <row r="3" spans="1:19" x14ac:dyDescent="0.3">
      <c r="A3" s="188" t="s">
        <v>4</v>
      </c>
      <c r="B3" s="188"/>
      <c r="C3" s="188"/>
      <c r="D3" s="188"/>
      <c r="M3" s="3" t="s">
        <v>156</v>
      </c>
      <c r="P3" s="35"/>
      <c r="Q3" s="35"/>
      <c r="R3" s="147" t="s">
        <v>735</v>
      </c>
    </row>
    <row r="4" spans="1:19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  <c r="P4" s="147" t="s">
        <v>694</v>
      </c>
      <c r="Q4" s="147" t="s">
        <v>733</v>
      </c>
      <c r="R4" s="147" t="s">
        <v>736</v>
      </c>
    </row>
    <row r="5" spans="1:19" x14ac:dyDescent="0.3">
      <c r="A5" s="186" t="s">
        <v>778</v>
      </c>
      <c r="B5" s="186"/>
      <c r="C5" s="186"/>
      <c r="D5" s="4"/>
      <c r="E5" s="5"/>
      <c r="F5" s="5"/>
      <c r="G5" s="10"/>
      <c r="H5" s="11"/>
      <c r="I5" s="11"/>
      <c r="J5" s="10"/>
      <c r="K5" s="5"/>
      <c r="L5" s="5"/>
      <c r="M5" s="5"/>
      <c r="P5" s="147"/>
      <c r="Q5" s="147"/>
      <c r="R5" s="147"/>
    </row>
    <row r="6" spans="1:19" x14ac:dyDescent="0.3">
      <c r="A6" s="6" t="s">
        <v>920</v>
      </c>
      <c r="B6" s="6" t="s">
        <v>293</v>
      </c>
      <c r="C6" s="43">
        <v>1</v>
      </c>
      <c r="D6" s="6" t="s">
        <v>918</v>
      </c>
      <c r="E6" s="7" t="s">
        <v>289</v>
      </c>
      <c r="F6" s="7" t="s">
        <v>52</v>
      </c>
      <c r="G6" s="12" t="s">
        <v>919</v>
      </c>
      <c r="H6" s="13"/>
      <c r="I6" s="44">
        <v>69.94</v>
      </c>
      <c r="J6" s="12" t="s">
        <v>915</v>
      </c>
      <c r="K6" s="7"/>
      <c r="L6" s="7" t="s">
        <v>168</v>
      </c>
      <c r="M6" s="7" t="s">
        <v>362</v>
      </c>
      <c r="N6" s="45">
        <v>44203</v>
      </c>
      <c r="S6" s="2"/>
    </row>
    <row r="7" spans="1:19" x14ac:dyDescent="0.3">
      <c r="A7" s="6" t="s">
        <v>347</v>
      </c>
      <c r="B7" s="6" t="s">
        <v>293</v>
      </c>
      <c r="C7" s="43" t="s">
        <v>916</v>
      </c>
      <c r="D7" s="6" t="s">
        <v>917</v>
      </c>
      <c r="E7" s="7" t="s">
        <v>289</v>
      </c>
      <c r="F7" s="7" t="s">
        <v>52</v>
      </c>
      <c r="G7" s="12" t="s">
        <v>262</v>
      </c>
      <c r="H7" s="13"/>
      <c r="I7" s="44">
        <v>30.94</v>
      </c>
      <c r="J7" s="12" t="s">
        <v>915</v>
      </c>
      <c r="K7" s="7"/>
      <c r="L7" s="7" t="s">
        <v>168</v>
      </c>
      <c r="M7" s="7" t="s">
        <v>362</v>
      </c>
      <c r="N7" s="45">
        <v>44204</v>
      </c>
      <c r="S7" s="2"/>
    </row>
    <row r="8" spans="1:19" x14ac:dyDescent="0.3">
      <c r="A8" s="6" t="s">
        <v>1217</v>
      </c>
      <c r="B8" s="6" t="s">
        <v>293</v>
      </c>
      <c r="C8" s="43">
        <v>15</v>
      </c>
      <c r="D8" s="6" t="s">
        <v>1214</v>
      </c>
      <c r="E8" s="7" t="s">
        <v>289</v>
      </c>
      <c r="F8" s="7" t="s">
        <v>52</v>
      </c>
      <c r="G8" s="12" t="s">
        <v>1215</v>
      </c>
      <c r="H8" s="13"/>
      <c r="I8" s="44">
        <v>1650</v>
      </c>
      <c r="J8" s="12" t="s">
        <v>1216</v>
      </c>
      <c r="K8" s="7"/>
      <c r="L8" s="7" t="s">
        <v>168</v>
      </c>
      <c r="M8" s="7"/>
      <c r="N8" s="45"/>
      <c r="S8" s="2"/>
    </row>
    <row r="9" spans="1:19" x14ac:dyDescent="0.3">
      <c r="A9" s="6" t="s">
        <v>1217</v>
      </c>
      <c r="B9" s="6" t="s">
        <v>293</v>
      </c>
      <c r="C9" s="43">
        <v>15</v>
      </c>
      <c r="D9" s="180" t="s">
        <v>1229</v>
      </c>
      <c r="E9" s="7" t="s">
        <v>289</v>
      </c>
      <c r="F9" s="7" t="s">
        <v>52</v>
      </c>
      <c r="G9" s="12" t="s">
        <v>1215</v>
      </c>
      <c r="H9" s="13"/>
      <c r="I9" s="44">
        <v>-1650</v>
      </c>
      <c r="J9" s="12" t="s">
        <v>1216</v>
      </c>
      <c r="K9" s="7"/>
      <c r="L9" s="7" t="s">
        <v>1227</v>
      </c>
      <c r="M9" s="7"/>
      <c r="N9" s="45">
        <v>44396</v>
      </c>
      <c r="S9" s="2"/>
    </row>
    <row r="10" spans="1:19" x14ac:dyDescent="0.3">
      <c r="A10" s="6"/>
      <c r="B10" s="6"/>
      <c r="C10" s="43"/>
      <c r="D10" s="6"/>
      <c r="E10" s="7"/>
      <c r="F10" s="7"/>
      <c r="G10" s="12"/>
      <c r="H10" s="13"/>
      <c r="I10" s="44"/>
      <c r="J10" s="12"/>
      <c r="K10" s="7"/>
      <c r="L10" s="7"/>
      <c r="M10" s="7"/>
      <c r="N10" s="45"/>
    </row>
    <row r="11" spans="1:19" x14ac:dyDescent="0.3">
      <c r="A11" s="6"/>
      <c r="B11" s="6"/>
      <c r="C11" s="43"/>
      <c r="D11" s="6"/>
      <c r="E11" s="7"/>
      <c r="F11" s="7"/>
      <c r="G11" s="12"/>
      <c r="H11" s="13"/>
      <c r="I11" s="44"/>
      <c r="J11" s="12"/>
      <c r="K11" s="7"/>
      <c r="L11" s="7"/>
      <c r="M11" s="7"/>
      <c r="N11" s="45"/>
    </row>
    <row r="12" spans="1:19" x14ac:dyDescent="0.3">
      <c r="A12" s="6" t="s">
        <v>942</v>
      </c>
      <c r="B12" s="6" t="s">
        <v>574</v>
      </c>
      <c r="C12" s="43"/>
      <c r="D12" s="6" t="s">
        <v>943</v>
      </c>
      <c r="E12" s="7" t="s">
        <v>940</v>
      </c>
      <c r="F12" s="7" t="s">
        <v>52</v>
      </c>
      <c r="G12" s="12" t="s">
        <v>941</v>
      </c>
      <c r="H12" s="13"/>
      <c r="I12" s="44">
        <v>306.89999999999998</v>
      </c>
      <c r="J12" s="12" t="s">
        <v>183</v>
      </c>
      <c r="K12" s="15">
        <v>44249</v>
      </c>
      <c r="L12" s="7">
        <v>241391</v>
      </c>
      <c r="M12" s="7" t="s">
        <v>362</v>
      </c>
      <c r="N12" s="45"/>
    </row>
    <row r="13" spans="1:19" x14ac:dyDescent="0.3">
      <c r="A13" s="6" t="s">
        <v>942</v>
      </c>
      <c r="B13" s="6" t="s">
        <v>574</v>
      </c>
      <c r="C13" s="43"/>
      <c r="D13" s="6" t="s">
        <v>944</v>
      </c>
      <c r="E13" s="7" t="s">
        <v>940</v>
      </c>
      <c r="F13" s="7" t="s">
        <v>52</v>
      </c>
      <c r="G13" s="12" t="s">
        <v>941</v>
      </c>
      <c r="H13" s="13"/>
      <c r="I13" s="44">
        <v>98</v>
      </c>
      <c r="J13" s="12" t="s">
        <v>183</v>
      </c>
      <c r="K13" s="15">
        <v>44249</v>
      </c>
      <c r="L13" s="7">
        <v>241391</v>
      </c>
      <c r="M13" s="7" t="s">
        <v>362</v>
      </c>
      <c r="N13" s="45"/>
    </row>
    <row r="14" spans="1:19" x14ac:dyDescent="0.3">
      <c r="A14" s="6" t="s">
        <v>942</v>
      </c>
      <c r="B14" s="6" t="s">
        <v>574</v>
      </c>
      <c r="C14" s="43"/>
      <c r="D14" s="6" t="s">
        <v>944</v>
      </c>
      <c r="E14" s="7" t="s">
        <v>940</v>
      </c>
      <c r="F14" s="7" t="s">
        <v>52</v>
      </c>
      <c r="G14" s="12" t="s">
        <v>941</v>
      </c>
      <c r="H14" s="13"/>
      <c r="I14" s="44">
        <v>89.99</v>
      </c>
      <c r="J14" s="12" t="s">
        <v>183</v>
      </c>
      <c r="K14" s="15">
        <v>44288</v>
      </c>
      <c r="L14" s="7">
        <v>241884</v>
      </c>
      <c r="M14" s="7" t="s">
        <v>362</v>
      </c>
      <c r="N14" s="45"/>
    </row>
    <row r="15" spans="1:19" x14ac:dyDescent="0.3">
      <c r="A15" s="6"/>
      <c r="B15" s="6"/>
      <c r="C15" s="43"/>
      <c r="D15" s="6"/>
      <c r="E15" s="7"/>
      <c r="F15" s="7"/>
      <c r="G15" s="12"/>
      <c r="H15" s="13"/>
      <c r="I15" s="44"/>
      <c r="J15" s="12"/>
      <c r="K15" s="7"/>
      <c r="L15" s="7"/>
      <c r="M15" s="7"/>
      <c r="N15" s="45"/>
    </row>
    <row r="16" spans="1:19" x14ac:dyDescent="0.3">
      <c r="A16" s="6" t="s">
        <v>864</v>
      </c>
      <c r="B16" s="6" t="s">
        <v>195</v>
      </c>
      <c r="C16" s="43">
        <v>9</v>
      </c>
      <c r="D16" s="6" t="s">
        <v>865</v>
      </c>
      <c r="E16" s="7" t="s">
        <v>162</v>
      </c>
      <c r="F16" s="7" t="s">
        <v>52</v>
      </c>
      <c r="G16" s="12" t="s">
        <v>262</v>
      </c>
      <c r="H16" s="13"/>
      <c r="I16" s="44">
        <v>120.09</v>
      </c>
      <c r="J16" s="12" t="s">
        <v>182</v>
      </c>
      <c r="K16" s="7"/>
      <c r="L16" s="7" t="s">
        <v>168</v>
      </c>
      <c r="M16" s="7" t="s">
        <v>362</v>
      </c>
      <c r="N16" s="45">
        <v>44131</v>
      </c>
    </row>
    <row r="17" spans="1:19" x14ac:dyDescent="0.3">
      <c r="A17" s="6" t="s">
        <v>347</v>
      </c>
      <c r="B17" s="6" t="s">
        <v>195</v>
      </c>
      <c r="C17" s="48">
        <v>20</v>
      </c>
      <c r="D17" s="6" t="s">
        <v>893</v>
      </c>
      <c r="E17" s="7" t="s">
        <v>162</v>
      </c>
      <c r="F17" s="7" t="s">
        <v>52</v>
      </c>
      <c r="G17" s="12" t="s">
        <v>262</v>
      </c>
      <c r="H17" s="13"/>
      <c r="I17" s="44">
        <v>388</v>
      </c>
      <c r="J17" s="12" t="s">
        <v>182</v>
      </c>
      <c r="K17" s="7"/>
      <c r="L17" s="7" t="s">
        <v>168</v>
      </c>
      <c r="M17" s="7" t="s">
        <v>362</v>
      </c>
      <c r="N17" s="45"/>
    </row>
    <row r="18" spans="1:19" x14ac:dyDescent="0.3">
      <c r="A18" s="6" t="s">
        <v>898</v>
      </c>
      <c r="B18" s="6" t="s">
        <v>195</v>
      </c>
      <c r="C18" s="48">
        <v>1</v>
      </c>
      <c r="D18" s="6" t="s">
        <v>899</v>
      </c>
      <c r="E18" s="7" t="s">
        <v>162</v>
      </c>
      <c r="F18" s="7" t="s">
        <v>52</v>
      </c>
      <c r="G18" s="12" t="s">
        <v>262</v>
      </c>
      <c r="H18" s="13"/>
      <c r="I18" s="44">
        <v>634.94000000000005</v>
      </c>
      <c r="J18" s="12" t="s">
        <v>182</v>
      </c>
      <c r="K18" s="7"/>
      <c r="L18" s="7" t="s">
        <v>168</v>
      </c>
      <c r="M18" s="7" t="s">
        <v>362</v>
      </c>
      <c r="N18" s="45"/>
    </row>
    <row r="19" spans="1:19" x14ac:dyDescent="0.3">
      <c r="A19" s="6" t="s">
        <v>896</v>
      </c>
      <c r="B19" s="6" t="s">
        <v>195</v>
      </c>
      <c r="C19" s="48">
        <v>4</v>
      </c>
      <c r="D19" s="6" t="s">
        <v>897</v>
      </c>
      <c r="E19" s="7" t="s">
        <v>162</v>
      </c>
      <c r="F19" s="7" t="s">
        <v>52</v>
      </c>
      <c r="G19" s="12" t="s">
        <v>262</v>
      </c>
      <c r="H19" s="13"/>
      <c r="I19" s="44">
        <v>113.95</v>
      </c>
      <c r="J19" s="12" t="s">
        <v>182</v>
      </c>
      <c r="K19" s="7"/>
      <c r="L19" s="7" t="s">
        <v>168</v>
      </c>
      <c r="M19" s="7" t="s">
        <v>362</v>
      </c>
      <c r="N19" s="45"/>
    </row>
    <row r="20" spans="1:19" x14ac:dyDescent="0.3">
      <c r="A20" s="6" t="s">
        <v>864</v>
      </c>
      <c r="B20" s="6" t="s">
        <v>195</v>
      </c>
      <c r="C20" s="48">
        <v>24</v>
      </c>
      <c r="D20" s="6"/>
      <c r="E20" s="7" t="s">
        <v>162</v>
      </c>
      <c r="F20" s="7" t="s">
        <v>52</v>
      </c>
      <c r="G20" s="12" t="s">
        <v>900</v>
      </c>
      <c r="H20" s="13"/>
      <c r="I20" s="44">
        <v>1174.54</v>
      </c>
      <c r="J20" s="12" t="s">
        <v>182</v>
      </c>
      <c r="K20" s="15">
        <v>44204</v>
      </c>
      <c r="L20" s="7">
        <v>240910</v>
      </c>
      <c r="M20" s="7" t="s">
        <v>362</v>
      </c>
      <c r="N20" s="45"/>
    </row>
    <row r="21" spans="1:19" x14ac:dyDescent="0.3">
      <c r="A21" s="6" t="s">
        <v>864</v>
      </c>
      <c r="B21" s="6" t="s">
        <v>195</v>
      </c>
      <c r="C21" s="43">
        <v>4</v>
      </c>
      <c r="D21" s="6" t="s">
        <v>1013</v>
      </c>
      <c r="E21" s="7" t="s">
        <v>162</v>
      </c>
      <c r="F21" s="7" t="s">
        <v>52</v>
      </c>
      <c r="G21" s="12" t="s">
        <v>978</v>
      </c>
      <c r="H21" s="13"/>
      <c r="I21" s="44">
        <v>667.72</v>
      </c>
      <c r="J21" s="12" t="s">
        <v>182</v>
      </c>
      <c r="K21" s="15"/>
      <c r="L21" s="7" t="s">
        <v>168</v>
      </c>
      <c r="M21" s="7" t="s">
        <v>362</v>
      </c>
    </row>
    <row r="22" spans="1:19" x14ac:dyDescent="0.3">
      <c r="A22" s="6" t="s">
        <v>864</v>
      </c>
      <c r="B22" s="6" t="s">
        <v>195</v>
      </c>
      <c r="C22" s="43">
        <v>24</v>
      </c>
      <c r="D22" s="6" t="s">
        <v>1014</v>
      </c>
      <c r="E22" s="7" t="s">
        <v>162</v>
      </c>
      <c r="F22" s="7" t="s">
        <v>52</v>
      </c>
      <c r="G22" s="12" t="s">
        <v>978</v>
      </c>
      <c r="H22" s="13"/>
      <c r="I22" s="44">
        <v>282.72000000000003</v>
      </c>
      <c r="J22" s="12" t="s">
        <v>182</v>
      </c>
      <c r="K22" s="15"/>
      <c r="L22" s="7" t="s">
        <v>168</v>
      </c>
      <c r="M22" s="7" t="s">
        <v>362</v>
      </c>
    </row>
    <row r="23" spans="1:19" x14ac:dyDescent="0.3">
      <c r="A23" s="6"/>
      <c r="B23" s="6"/>
      <c r="C23" s="43"/>
      <c r="D23" s="6"/>
      <c r="E23" s="7"/>
      <c r="F23" s="7"/>
      <c r="G23" s="12"/>
      <c r="H23" s="13"/>
      <c r="I23" s="44"/>
      <c r="J23" s="12"/>
      <c r="K23" s="15"/>
      <c r="L23" s="7"/>
      <c r="M23" s="7"/>
    </row>
    <row r="24" spans="1:19" x14ac:dyDescent="0.3">
      <c r="A24" s="6"/>
      <c r="B24" s="6"/>
      <c r="C24" s="43"/>
      <c r="D24" s="6"/>
      <c r="E24" s="7"/>
      <c r="F24" s="7"/>
      <c r="G24" s="12"/>
      <c r="H24" s="13"/>
      <c r="I24" s="44"/>
      <c r="J24" s="12"/>
      <c r="K24" s="15"/>
      <c r="L24" s="7"/>
      <c r="M24" s="7"/>
    </row>
    <row r="25" spans="1:19" x14ac:dyDescent="0.3">
      <c r="A25" s="6" t="s">
        <v>868</v>
      </c>
      <c r="B25" s="6" t="s">
        <v>161</v>
      </c>
      <c r="C25" s="43" t="s">
        <v>205</v>
      </c>
      <c r="D25" s="6" t="s">
        <v>866</v>
      </c>
      <c r="E25" s="7" t="s">
        <v>172</v>
      </c>
      <c r="F25" s="7" t="s">
        <v>52</v>
      </c>
      <c r="G25" s="12" t="s">
        <v>169</v>
      </c>
      <c r="H25" s="13"/>
      <c r="I25" s="44">
        <v>98.02</v>
      </c>
      <c r="J25" s="12" t="s">
        <v>867</v>
      </c>
      <c r="K25" s="7"/>
      <c r="L25" s="7" t="s">
        <v>168</v>
      </c>
      <c r="M25" s="7" t="s">
        <v>362</v>
      </c>
      <c r="N25" s="45">
        <v>44113</v>
      </c>
      <c r="S25" s="2"/>
    </row>
    <row r="26" spans="1:19" x14ac:dyDescent="0.3">
      <c r="A26" s="6" t="s">
        <v>1199</v>
      </c>
      <c r="B26" s="6" t="s">
        <v>46</v>
      </c>
      <c r="C26" s="43">
        <v>100</v>
      </c>
      <c r="D26" s="6"/>
      <c r="E26" s="7" t="s">
        <v>172</v>
      </c>
      <c r="F26" s="7" t="s">
        <v>52</v>
      </c>
      <c r="G26" s="12" t="s">
        <v>1196</v>
      </c>
      <c r="H26" s="13"/>
      <c r="I26" s="44">
        <v>1400</v>
      </c>
      <c r="J26" s="12" t="s">
        <v>47</v>
      </c>
      <c r="K26" s="15">
        <v>44358</v>
      </c>
      <c r="L26" s="7">
        <v>242844</v>
      </c>
      <c r="M26" s="7" t="s">
        <v>362</v>
      </c>
      <c r="N26" s="45">
        <v>44329</v>
      </c>
    </row>
    <row r="27" spans="1:19" x14ac:dyDescent="0.3">
      <c r="A27" s="6"/>
      <c r="B27" s="6"/>
      <c r="C27" s="43"/>
      <c r="D27" s="6"/>
      <c r="E27" s="7" t="s">
        <v>172</v>
      </c>
      <c r="F27" s="7" t="s">
        <v>52</v>
      </c>
      <c r="G27" s="12"/>
      <c r="H27" s="13"/>
      <c r="I27" s="44"/>
      <c r="J27" s="12"/>
      <c r="K27" s="7"/>
      <c r="L27" s="7"/>
      <c r="M27" s="7"/>
      <c r="N27" s="45"/>
    </row>
    <row r="28" spans="1:19" x14ac:dyDescent="0.3">
      <c r="A28" s="6"/>
      <c r="B28" s="6"/>
      <c r="C28" s="43"/>
      <c r="D28" s="6"/>
      <c r="E28" s="7"/>
      <c r="F28" s="7"/>
      <c r="G28" s="12"/>
      <c r="H28" s="13"/>
      <c r="I28" s="44"/>
      <c r="J28" s="12"/>
      <c r="K28" s="7"/>
      <c r="L28" s="7"/>
      <c r="M28" s="7"/>
      <c r="N28" s="45"/>
    </row>
    <row r="29" spans="1:19" x14ac:dyDescent="0.3">
      <c r="A29" s="6" t="s">
        <v>529</v>
      </c>
      <c r="B29" s="6" t="s">
        <v>574</v>
      </c>
      <c r="C29" s="125" t="s">
        <v>901</v>
      </c>
      <c r="D29" s="6" t="s">
        <v>902</v>
      </c>
      <c r="E29" s="7" t="s">
        <v>54</v>
      </c>
      <c r="F29" s="7">
        <v>22100263</v>
      </c>
      <c r="G29" s="12" t="s">
        <v>530</v>
      </c>
      <c r="H29" s="44">
        <f>1960-1960</f>
        <v>0</v>
      </c>
      <c r="I29" s="44">
        <v>1960</v>
      </c>
      <c r="J29" s="12" t="s">
        <v>183</v>
      </c>
      <c r="K29" s="7"/>
      <c r="L29" s="7"/>
      <c r="M29" s="7"/>
      <c r="Q29" s="2" t="s">
        <v>741</v>
      </c>
      <c r="R29" t="s">
        <v>741</v>
      </c>
      <c r="S29" s="2"/>
    </row>
    <row r="30" spans="1:19" x14ac:dyDescent="0.3">
      <c r="A30" s="6" t="s">
        <v>1006</v>
      </c>
      <c r="B30" s="6" t="s">
        <v>195</v>
      </c>
      <c r="C30" s="7">
        <v>15</v>
      </c>
      <c r="D30" s="6" t="s">
        <v>1007</v>
      </c>
      <c r="E30" s="7" t="s">
        <v>54</v>
      </c>
      <c r="F30" s="7" t="s">
        <v>52</v>
      </c>
      <c r="G30" s="12" t="s">
        <v>416</v>
      </c>
      <c r="H30" s="13"/>
      <c r="I30" s="44">
        <v>1485.53</v>
      </c>
      <c r="J30" s="12" t="s">
        <v>182</v>
      </c>
      <c r="K30" s="15">
        <v>44267</v>
      </c>
      <c r="L30" s="7">
        <v>241634</v>
      </c>
      <c r="M30" s="7" t="s">
        <v>362</v>
      </c>
    </row>
    <row r="31" spans="1:19" x14ac:dyDescent="0.3">
      <c r="A31" s="6" t="s">
        <v>874</v>
      </c>
      <c r="B31" s="6" t="s">
        <v>13</v>
      </c>
      <c r="C31" s="7">
        <v>8</v>
      </c>
      <c r="D31" s="6" t="s">
        <v>875</v>
      </c>
      <c r="E31" s="7" t="s">
        <v>54</v>
      </c>
      <c r="F31" s="7" t="s">
        <v>52</v>
      </c>
      <c r="G31" s="12" t="s">
        <v>869</v>
      </c>
      <c r="H31" s="13"/>
      <c r="I31" s="44">
        <v>60.47</v>
      </c>
      <c r="J31" s="12" t="s">
        <v>243</v>
      </c>
      <c r="K31" s="7"/>
      <c r="L31" s="7" t="s">
        <v>168</v>
      </c>
      <c r="M31" s="7" t="s">
        <v>362</v>
      </c>
    </row>
    <row r="32" spans="1:19" x14ac:dyDescent="0.3">
      <c r="A32" s="6" t="s">
        <v>871</v>
      </c>
      <c r="B32" s="6" t="s">
        <v>13</v>
      </c>
      <c r="C32" s="7">
        <v>1</v>
      </c>
      <c r="D32" s="163" t="s">
        <v>873</v>
      </c>
      <c r="E32" s="7" t="s">
        <v>54</v>
      </c>
      <c r="F32" s="7" t="s">
        <v>52</v>
      </c>
      <c r="G32" s="12" t="s">
        <v>870</v>
      </c>
      <c r="H32" s="13"/>
      <c r="I32" s="44">
        <v>150</v>
      </c>
      <c r="J32" s="12"/>
      <c r="K32" s="15">
        <v>44155</v>
      </c>
      <c r="L32" s="7">
        <v>240345</v>
      </c>
      <c r="M32" s="7" t="s">
        <v>362</v>
      </c>
    </row>
    <row r="33" spans="1:19" x14ac:dyDescent="0.3">
      <c r="A33" s="6" t="s">
        <v>871</v>
      </c>
      <c r="B33" s="6" t="s">
        <v>13</v>
      </c>
      <c r="C33" s="7">
        <v>1</v>
      </c>
      <c r="D33" s="163" t="s">
        <v>872</v>
      </c>
      <c r="E33" s="7" t="s">
        <v>54</v>
      </c>
      <c r="F33" s="7" t="s">
        <v>52</v>
      </c>
      <c r="G33" s="12" t="s">
        <v>870</v>
      </c>
      <c r="H33" s="44"/>
      <c r="I33" s="44">
        <v>150</v>
      </c>
      <c r="J33" s="12"/>
      <c r="K33" s="15">
        <v>44155</v>
      </c>
      <c r="L33" s="7">
        <v>240345</v>
      </c>
      <c r="M33" s="7" t="s">
        <v>362</v>
      </c>
      <c r="N33" s="45"/>
    </row>
    <row r="34" spans="1:19" x14ac:dyDescent="0.3">
      <c r="A34" s="6" t="s">
        <v>911</v>
      </c>
      <c r="B34" s="6" t="s">
        <v>13</v>
      </c>
      <c r="C34" s="43" t="s">
        <v>205</v>
      </c>
      <c r="D34" s="163" t="s">
        <v>912</v>
      </c>
      <c r="E34" s="7" t="s">
        <v>54</v>
      </c>
      <c r="F34" s="7" t="s">
        <v>52</v>
      </c>
      <c r="G34" s="12" t="s">
        <v>910</v>
      </c>
      <c r="H34" s="44"/>
      <c r="I34" s="44">
        <v>1225.18</v>
      </c>
      <c r="J34" s="12"/>
      <c r="K34" s="15">
        <v>44218</v>
      </c>
      <c r="L34" s="7">
        <v>241086</v>
      </c>
      <c r="M34" s="7" t="s">
        <v>362</v>
      </c>
      <c r="N34" s="45"/>
    </row>
    <row r="35" spans="1:19" x14ac:dyDescent="0.3">
      <c r="A35" s="6" t="s">
        <v>921</v>
      </c>
      <c r="B35" s="6" t="s">
        <v>293</v>
      </c>
      <c r="C35" s="43">
        <v>1000</v>
      </c>
      <c r="D35" s="6" t="s">
        <v>922</v>
      </c>
      <c r="E35" s="7" t="s">
        <v>54</v>
      </c>
      <c r="F35" s="7" t="s">
        <v>52</v>
      </c>
      <c r="G35" s="12" t="s">
        <v>262</v>
      </c>
      <c r="H35" s="13"/>
      <c r="I35" s="44">
        <v>89.99</v>
      </c>
      <c r="J35" s="12" t="s">
        <v>182</v>
      </c>
      <c r="K35" s="7"/>
      <c r="L35" s="7" t="s">
        <v>168</v>
      </c>
      <c r="M35" s="7" t="s">
        <v>362</v>
      </c>
      <c r="N35" s="45">
        <v>44203</v>
      </c>
      <c r="S35" s="2"/>
    </row>
    <row r="36" spans="1:19" x14ac:dyDescent="0.3">
      <c r="A36" s="6" t="s">
        <v>1112</v>
      </c>
      <c r="B36" s="6" t="s">
        <v>574</v>
      </c>
      <c r="C36" s="125">
        <v>1</v>
      </c>
      <c r="D36" s="6"/>
      <c r="E36" s="7" t="s">
        <v>54</v>
      </c>
      <c r="F36" s="7">
        <v>22100396</v>
      </c>
      <c r="G36" s="12" t="s">
        <v>1111</v>
      </c>
      <c r="H36" s="44">
        <f>2435-2435</f>
        <v>0</v>
      </c>
      <c r="I36" s="44">
        <v>10500</v>
      </c>
      <c r="J36" s="12" t="s">
        <v>183</v>
      </c>
      <c r="K36" s="15">
        <v>44302</v>
      </c>
      <c r="L36" s="7">
        <v>242146</v>
      </c>
      <c r="M36" s="7" t="s">
        <v>362</v>
      </c>
      <c r="Q36" s="2" t="s">
        <v>741</v>
      </c>
      <c r="R36" t="s">
        <v>741</v>
      </c>
      <c r="S36" s="2"/>
    </row>
    <row r="37" spans="1:19" x14ac:dyDescent="0.3">
      <c r="A37" s="6" t="s">
        <v>1154</v>
      </c>
      <c r="B37" s="6" t="s">
        <v>574</v>
      </c>
      <c r="C37" s="43">
        <v>500</v>
      </c>
      <c r="D37" s="6" t="s">
        <v>1153</v>
      </c>
      <c r="E37" s="7" t="s">
        <v>54</v>
      </c>
      <c r="F37" s="7" t="s">
        <v>52</v>
      </c>
      <c r="G37" s="12" t="s">
        <v>1177</v>
      </c>
      <c r="H37" s="13"/>
      <c r="I37" s="44">
        <v>435</v>
      </c>
      <c r="J37" s="12" t="s">
        <v>322</v>
      </c>
      <c r="K37" s="7"/>
      <c r="L37" s="7" t="s">
        <v>168</v>
      </c>
      <c r="M37" s="7" t="s">
        <v>362</v>
      </c>
      <c r="N37" s="45">
        <v>44307</v>
      </c>
      <c r="S37" s="2"/>
    </row>
    <row r="38" spans="1:19" x14ac:dyDescent="0.3">
      <c r="A38" s="6" t="s">
        <v>1134</v>
      </c>
      <c r="B38" s="6" t="s">
        <v>13</v>
      </c>
      <c r="C38" s="43">
        <v>16</v>
      </c>
      <c r="D38" s="6" t="s">
        <v>1135</v>
      </c>
      <c r="E38" s="7" t="s">
        <v>54</v>
      </c>
      <c r="F38" s="7" t="s">
        <v>52</v>
      </c>
      <c r="G38" s="12" t="s">
        <v>1133</v>
      </c>
      <c r="H38" s="13"/>
      <c r="I38" s="44">
        <v>250</v>
      </c>
      <c r="J38" s="12" t="s">
        <v>243</v>
      </c>
      <c r="K38" s="7"/>
      <c r="L38" s="7" t="s">
        <v>168</v>
      </c>
      <c r="M38" s="7" t="s">
        <v>362</v>
      </c>
      <c r="N38" s="45">
        <v>44291</v>
      </c>
      <c r="S38" s="2"/>
    </row>
    <row r="39" spans="1:19" x14ac:dyDescent="0.3">
      <c r="A39" s="6" t="s">
        <v>1210</v>
      </c>
      <c r="B39" s="6" t="s">
        <v>310</v>
      </c>
      <c r="C39" s="43">
        <v>1</v>
      </c>
      <c r="D39" s="6" t="s">
        <v>1211</v>
      </c>
      <c r="E39" s="7" t="s">
        <v>54</v>
      </c>
      <c r="F39" s="7" t="s">
        <v>52</v>
      </c>
      <c r="G39" s="12" t="s">
        <v>262</v>
      </c>
      <c r="H39" s="13"/>
      <c r="I39" s="44">
        <v>142.94</v>
      </c>
      <c r="J39" s="12" t="s">
        <v>322</v>
      </c>
      <c r="K39" s="7"/>
      <c r="L39" s="7" t="s">
        <v>168</v>
      </c>
      <c r="M39" s="7" t="s">
        <v>362</v>
      </c>
      <c r="N39" s="45"/>
      <c r="S39" s="2"/>
    </row>
    <row r="40" spans="1:19" x14ac:dyDescent="0.3">
      <c r="A40" s="6" t="s">
        <v>1210</v>
      </c>
      <c r="B40" s="6" t="s">
        <v>310</v>
      </c>
      <c r="C40" s="43">
        <v>1</v>
      </c>
      <c r="D40" s="6" t="s">
        <v>1212</v>
      </c>
      <c r="E40" s="7" t="s">
        <v>54</v>
      </c>
      <c r="F40" s="7" t="s">
        <v>52</v>
      </c>
      <c r="G40" s="12" t="s">
        <v>262</v>
      </c>
      <c r="H40" s="13"/>
      <c r="I40" s="44">
        <v>135.37</v>
      </c>
      <c r="J40" s="12" t="s">
        <v>322</v>
      </c>
      <c r="K40" s="7"/>
      <c r="L40" s="7" t="s">
        <v>168</v>
      </c>
      <c r="M40" s="7" t="s">
        <v>362</v>
      </c>
      <c r="N40" s="45"/>
      <c r="S40" s="2"/>
    </row>
    <row r="41" spans="1:19" x14ac:dyDescent="0.3">
      <c r="A41" s="6" t="s">
        <v>1213</v>
      </c>
      <c r="B41" s="6" t="s">
        <v>13</v>
      </c>
      <c r="C41" s="43">
        <v>2</v>
      </c>
      <c r="D41" s="6"/>
      <c r="E41" s="7" t="s">
        <v>54</v>
      </c>
      <c r="F41" s="7" t="s">
        <v>52</v>
      </c>
      <c r="G41" s="12" t="s">
        <v>1111</v>
      </c>
      <c r="H41" s="13"/>
      <c r="I41" s="44">
        <v>2400</v>
      </c>
      <c r="J41" s="12" t="s">
        <v>183</v>
      </c>
      <c r="K41" s="15">
        <v>44400</v>
      </c>
      <c r="L41" s="7">
        <v>243485</v>
      </c>
      <c r="M41" s="7" t="s">
        <v>362</v>
      </c>
      <c r="N41" s="45"/>
      <c r="S41" s="2"/>
    </row>
    <row r="42" spans="1:19" x14ac:dyDescent="0.3">
      <c r="A42" s="6" t="s">
        <v>1224</v>
      </c>
      <c r="B42" s="6" t="s">
        <v>13</v>
      </c>
      <c r="C42" s="43">
        <v>16</v>
      </c>
      <c r="D42" s="6"/>
      <c r="E42" s="7" t="s">
        <v>54</v>
      </c>
      <c r="F42" s="7" t="s">
        <v>52</v>
      </c>
      <c r="G42" s="12" t="s">
        <v>1225</v>
      </c>
      <c r="H42" s="13"/>
      <c r="I42" s="44">
        <v>3825</v>
      </c>
      <c r="J42" s="12" t="s">
        <v>1226</v>
      </c>
      <c r="K42" s="15">
        <v>44407</v>
      </c>
      <c r="L42" s="7">
        <v>243594</v>
      </c>
      <c r="M42" s="7" t="s">
        <v>362</v>
      </c>
      <c r="N42" s="45"/>
      <c r="S42" s="2"/>
    </row>
    <row r="43" spans="1:19" x14ac:dyDescent="0.3">
      <c r="A43" s="6"/>
      <c r="B43" s="6"/>
      <c r="C43" s="43"/>
      <c r="D43" s="6"/>
      <c r="E43" s="7"/>
      <c r="F43" s="7"/>
      <c r="G43" s="12"/>
      <c r="H43" s="13"/>
      <c r="I43" s="44"/>
      <c r="J43" s="12"/>
      <c r="K43" s="7"/>
      <c r="L43" s="7"/>
      <c r="M43" s="7"/>
      <c r="N43" s="45"/>
      <c r="S43" s="2"/>
    </row>
    <row r="44" spans="1:19" x14ac:dyDescent="0.3">
      <c r="A44" s="6" t="s">
        <v>885</v>
      </c>
      <c r="B44" s="6" t="s">
        <v>195</v>
      </c>
      <c r="C44" s="48"/>
      <c r="D44" s="6"/>
      <c r="E44" s="7" t="s">
        <v>173</v>
      </c>
      <c r="F44" s="7" t="s">
        <v>52</v>
      </c>
      <c r="G44" s="12" t="s">
        <v>416</v>
      </c>
      <c r="H44" s="44">
        <v>0</v>
      </c>
      <c r="I44" s="44">
        <v>3520.35</v>
      </c>
      <c r="J44" s="12" t="s">
        <v>182</v>
      </c>
      <c r="K44" s="15">
        <v>44211</v>
      </c>
      <c r="L44" s="7">
        <v>240955</v>
      </c>
      <c r="M44" s="7" t="s">
        <v>362</v>
      </c>
      <c r="N44" s="45"/>
    </row>
    <row r="45" spans="1:19" x14ac:dyDescent="0.3">
      <c r="A45" s="6" t="s">
        <v>894</v>
      </c>
      <c r="B45" s="6" t="s">
        <v>195</v>
      </c>
      <c r="C45" s="48">
        <v>4</v>
      </c>
      <c r="D45" s="6" t="s">
        <v>895</v>
      </c>
      <c r="E45" s="7" t="s">
        <v>173</v>
      </c>
      <c r="F45" s="7" t="s">
        <v>52</v>
      </c>
      <c r="G45" s="12" t="s">
        <v>416</v>
      </c>
      <c r="H45" s="13"/>
      <c r="I45" s="44">
        <v>597.58000000000004</v>
      </c>
      <c r="J45" s="12" t="s">
        <v>182</v>
      </c>
      <c r="K45" s="7"/>
      <c r="L45" s="7" t="s">
        <v>168</v>
      </c>
      <c r="M45" s="7" t="s">
        <v>362</v>
      </c>
      <c r="N45" s="45"/>
    </row>
    <row r="46" spans="1:19" x14ac:dyDescent="0.3">
      <c r="A46" s="6" t="s">
        <v>903</v>
      </c>
      <c r="B46" s="6" t="s">
        <v>195</v>
      </c>
      <c r="C46" s="43" t="s">
        <v>52</v>
      </c>
      <c r="D46" s="6" t="s">
        <v>904</v>
      </c>
      <c r="E46" s="7" t="s">
        <v>173</v>
      </c>
      <c r="F46" s="7" t="s">
        <v>52</v>
      </c>
      <c r="G46" s="12" t="s">
        <v>169</v>
      </c>
      <c r="H46" s="13"/>
      <c r="I46" s="44">
        <v>146.11000000000001</v>
      </c>
      <c r="J46" s="12" t="s">
        <v>182</v>
      </c>
      <c r="K46" s="7"/>
      <c r="L46" s="7" t="s">
        <v>168</v>
      </c>
      <c r="M46" s="7" t="s">
        <v>362</v>
      </c>
      <c r="N46" s="164">
        <v>44538</v>
      </c>
    </row>
    <row r="47" spans="1:19" x14ac:dyDescent="0.3">
      <c r="A47" s="6" t="s">
        <v>907</v>
      </c>
      <c r="B47" s="6" t="s">
        <v>195</v>
      </c>
      <c r="C47" s="43" t="s">
        <v>52</v>
      </c>
      <c r="D47" s="6" t="s">
        <v>904</v>
      </c>
      <c r="E47" s="7" t="s">
        <v>173</v>
      </c>
      <c r="F47" s="7" t="s">
        <v>52</v>
      </c>
      <c r="G47" s="12" t="s">
        <v>169</v>
      </c>
      <c r="H47" s="13"/>
      <c r="I47" s="44">
        <v>58.03</v>
      </c>
      <c r="J47" s="12" t="s">
        <v>182</v>
      </c>
      <c r="K47" s="7"/>
      <c r="L47" s="7" t="s">
        <v>168</v>
      </c>
      <c r="M47" s="7" t="s">
        <v>362</v>
      </c>
      <c r="N47" s="164">
        <v>44548</v>
      </c>
    </row>
    <row r="48" spans="1:19" x14ac:dyDescent="0.3">
      <c r="A48" s="6" t="s">
        <v>905</v>
      </c>
      <c r="B48" s="6" t="s">
        <v>195</v>
      </c>
      <c r="C48" s="48"/>
      <c r="D48" s="6" t="s">
        <v>906</v>
      </c>
      <c r="E48" s="7" t="s">
        <v>173</v>
      </c>
      <c r="F48" s="7" t="s">
        <v>52</v>
      </c>
      <c r="G48" s="12" t="s">
        <v>416</v>
      </c>
      <c r="H48" s="44"/>
      <c r="I48" s="44">
        <v>756.43</v>
      </c>
      <c r="J48" s="12" t="s">
        <v>182</v>
      </c>
      <c r="K48" s="7"/>
      <c r="L48" s="7" t="s">
        <v>168</v>
      </c>
      <c r="M48" s="7" t="s">
        <v>362</v>
      </c>
      <c r="N48" s="50">
        <v>44468</v>
      </c>
    </row>
    <row r="49" spans="1:19" x14ac:dyDescent="0.3">
      <c r="A49" s="6"/>
      <c r="B49" s="6"/>
      <c r="C49" s="48"/>
      <c r="D49" s="6"/>
      <c r="E49" s="7" t="s">
        <v>173</v>
      </c>
      <c r="F49" s="7" t="s">
        <v>52</v>
      </c>
      <c r="G49" s="12"/>
      <c r="H49" s="13"/>
      <c r="I49" s="44"/>
      <c r="J49" s="12"/>
      <c r="K49" s="7"/>
      <c r="L49" s="7"/>
      <c r="M49" s="7"/>
      <c r="N49" s="45"/>
    </row>
    <row r="50" spans="1:19" x14ac:dyDescent="0.3">
      <c r="A50" s="6"/>
      <c r="B50" s="6"/>
      <c r="C50" s="48"/>
      <c r="D50" s="6"/>
      <c r="E50" s="7"/>
      <c r="F50" s="7"/>
      <c r="G50" s="12"/>
      <c r="H50" s="13"/>
      <c r="I50" s="44"/>
      <c r="J50" s="12"/>
      <c r="K50" s="7"/>
      <c r="L50" s="7"/>
      <c r="M50" s="7"/>
      <c r="N50" s="45"/>
    </row>
    <row r="51" spans="1:19" x14ac:dyDescent="0.3">
      <c r="A51" s="6"/>
      <c r="B51" s="6"/>
      <c r="C51" s="43"/>
      <c r="D51" s="6"/>
      <c r="E51" s="7" t="s">
        <v>396</v>
      </c>
      <c r="F51" s="7" t="s">
        <v>52</v>
      </c>
      <c r="G51" s="12"/>
      <c r="H51" s="13"/>
      <c r="I51" s="44"/>
      <c r="J51" s="12"/>
      <c r="K51" s="7"/>
      <c r="L51" s="7"/>
      <c r="M51" s="7"/>
      <c r="N51" s="45"/>
    </row>
    <row r="52" spans="1:19" x14ac:dyDescent="0.3">
      <c r="A52" s="6"/>
      <c r="B52" s="6"/>
      <c r="C52" s="43"/>
      <c r="D52" s="6"/>
      <c r="E52" s="7" t="s">
        <v>396</v>
      </c>
      <c r="F52" s="7" t="s">
        <v>52</v>
      </c>
      <c r="G52" s="12"/>
      <c r="H52" s="13"/>
      <c r="I52" s="13"/>
      <c r="J52" s="12"/>
      <c r="K52" s="7"/>
      <c r="L52" s="7"/>
      <c r="M52" s="7"/>
      <c r="N52" s="45"/>
    </row>
    <row r="53" spans="1:19" x14ac:dyDescent="0.3">
      <c r="A53" s="6"/>
      <c r="B53" s="6"/>
      <c r="C53" s="43"/>
      <c r="D53" s="6"/>
      <c r="E53" s="7"/>
      <c r="F53" s="7"/>
      <c r="G53" s="12"/>
      <c r="H53" s="13"/>
      <c r="I53" s="13"/>
      <c r="J53" s="12"/>
      <c r="K53" s="7"/>
      <c r="L53" s="7"/>
      <c r="M53" s="7"/>
      <c r="N53" s="45"/>
    </row>
    <row r="54" spans="1:19" x14ac:dyDescent="0.3">
      <c r="A54" s="6" t="s">
        <v>1205</v>
      </c>
      <c r="B54" s="6" t="s">
        <v>379</v>
      </c>
      <c r="C54" s="43">
        <v>16</v>
      </c>
      <c r="D54" s="6" t="s">
        <v>1204</v>
      </c>
      <c r="E54" s="7" t="s">
        <v>380</v>
      </c>
      <c r="F54" s="7" t="s">
        <v>1201</v>
      </c>
      <c r="G54" s="12" t="s">
        <v>1202</v>
      </c>
      <c r="H54" s="13">
        <f>22998.56-22998.56</f>
        <v>0</v>
      </c>
      <c r="I54" s="44"/>
      <c r="J54" s="12" t="s">
        <v>1203</v>
      </c>
      <c r="K54" s="182" t="s">
        <v>1228</v>
      </c>
      <c r="L54" s="7"/>
      <c r="M54" s="7"/>
      <c r="N54" s="45"/>
    </row>
    <row r="55" spans="1:19" x14ac:dyDescent="0.3">
      <c r="A55" s="6" t="s">
        <v>1217</v>
      </c>
      <c r="B55" s="6" t="s">
        <v>293</v>
      </c>
      <c r="C55" s="43">
        <v>15</v>
      </c>
      <c r="D55" s="6" t="s">
        <v>1214</v>
      </c>
      <c r="E55" s="7" t="s">
        <v>289</v>
      </c>
      <c r="F55" s="7" t="s">
        <v>52</v>
      </c>
      <c r="G55" s="12" t="s">
        <v>1215</v>
      </c>
      <c r="H55" s="13"/>
      <c r="I55" s="44">
        <v>1650</v>
      </c>
      <c r="J55" s="12" t="s">
        <v>1216</v>
      </c>
      <c r="K55" s="7"/>
      <c r="L55" s="181" t="s">
        <v>1230</v>
      </c>
      <c r="M55" s="7"/>
      <c r="N55" s="45"/>
      <c r="S55" s="2"/>
    </row>
    <row r="56" spans="1:19" x14ac:dyDescent="0.3">
      <c r="A56" s="6"/>
      <c r="B56" s="6"/>
      <c r="C56" s="43"/>
      <c r="D56" s="6"/>
      <c r="E56" s="7"/>
      <c r="F56" s="7"/>
      <c r="G56" s="12"/>
      <c r="H56" s="13"/>
      <c r="I56" s="44"/>
      <c r="J56" s="12"/>
      <c r="K56" s="15"/>
      <c r="L56" s="7"/>
      <c r="M56" s="7"/>
      <c r="N56" s="45"/>
    </row>
    <row r="57" spans="1:19" x14ac:dyDescent="0.3">
      <c r="A57" s="6" t="s">
        <v>979</v>
      </c>
      <c r="B57" s="6" t="s">
        <v>379</v>
      </c>
      <c r="C57" s="43"/>
      <c r="D57" s="6" t="s">
        <v>981</v>
      </c>
      <c r="E57" s="7" t="s">
        <v>676</v>
      </c>
      <c r="F57" s="7">
        <v>22100316</v>
      </c>
      <c r="G57" s="12" t="s">
        <v>980</v>
      </c>
      <c r="H57" s="13">
        <f>9260-9260</f>
        <v>0</v>
      </c>
      <c r="I57" s="44"/>
      <c r="J57" s="12" t="s">
        <v>1231</v>
      </c>
      <c r="K57" s="182" t="s">
        <v>1228</v>
      </c>
      <c r="L57" s="7"/>
      <c r="M57" s="7"/>
      <c r="N57" s="45"/>
    </row>
    <row r="58" spans="1:19" x14ac:dyDescent="0.3">
      <c r="A58" s="6" t="s">
        <v>1197</v>
      </c>
      <c r="B58" s="6" t="s">
        <v>293</v>
      </c>
      <c r="C58" s="48"/>
      <c r="D58" s="6"/>
      <c r="E58" s="7" t="s">
        <v>676</v>
      </c>
      <c r="F58" s="7"/>
      <c r="G58" s="12" t="s">
        <v>1193</v>
      </c>
      <c r="H58" s="13"/>
      <c r="I58" s="44">
        <v>1065</v>
      </c>
      <c r="J58" s="12" t="s">
        <v>915</v>
      </c>
      <c r="K58" s="15">
        <v>44351</v>
      </c>
      <c r="L58" s="7">
        <v>242748</v>
      </c>
      <c r="M58" s="7" t="s">
        <v>362</v>
      </c>
      <c r="N58" s="45"/>
    </row>
    <row r="59" spans="1:19" x14ac:dyDescent="0.3">
      <c r="A59" s="6" t="s">
        <v>1222</v>
      </c>
      <c r="B59" s="6" t="s">
        <v>293</v>
      </c>
      <c r="C59" s="43">
        <v>15</v>
      </c>
      <c r="D59" s="6" t="s">
        <v>1223</v>
      </c>
      <c r="E59" s="7" t="s">
        <v>676</v>
      </c>
      <c r="F59" s="7" t="s">
        <v>52</v>
      </c>
      <c r="G59" s="12" t="s">
        <v>262</v>
      </c>
      <c r="H59" s="13">
        <f>134.85-134.85</f>
        <v>0</v>
      </c>
      <c r="I59" s="44">
        <v>134.85</v>
      </c>
      <c r="J59" s="12" t="s">
        <v>340</v>
      </c>
      <c r="K59" s="15">
        <v>44395</v>
      </c>
      <c r="L59" s="7" t="s">
        <v>168</v>
      </c>
      <c r="M59" s="7" t="s">
        <v>362</v>
      </c>
      <c r="N59" s="45"/>
    </row>
    <row r="60" spans="1:19" x14ac:dyDescent="0.3">
      <c r="A60" s="6"/>
      <c r="B60" s="6"/>
      <c r="C60" s="43"/>
      <c r="D60" s="6"/>
      <c r="E60" s="7"/>
      <c r="F60" s="7"/>
      <c r="G60" s="12"/>
      <c r="H60" s="13"/>
      <c r="I60" s="44"/>
      <c r="J60" s="12"/>
      <c r="K60" s="15"/>
      <c r="L60" s="7"/>
      <c r="M60" s="7"/>
      <c r="N60" s="45"/>
    </row>
    <row r="61" spans="1:19" x14ac:dyDescent="0.3">
      <c r="A61" s="6"/>
      <c r="B61" s="6"/>
      <c r="C61" s="48"/>
      <c r="D61" s="6"/>
      <c r="E61" s="7"/>
      <c r="F61" s="7"/>
      <c r="G61" s="12"/>
      <c r="H61" s="44"/>
      <c r="I61" s="44"/>
      <c r="J61" s="12"/>
      <c r="K61" s="7"/>
      <c r="L61" s="7"/>
      <c r="M61" s="7"/>
      <c r="N61" s="45"/>
    </row>
    <row r="62" spans="1:19" x14ac:dyDescent="0.3">
      <c r="A62" s="6"/>
      <c r="B62" s="6"/>
      <c r="C62" s="43"/>
      <c r="D62" s="6"/>
      <c r="E62" s="7"/>
      <c r="F62" s="7"/>
      <c r="G62" s="12"/>
      <c r="H62" s="13"/>
      <c r="I62" s="44"/>
      <c r="J62" s="12"/>
      <c r="K62" s="7"/>
      <c r="L62" s="7"/>
      <c r="M62" s="7"/>
      <c r="N62" s="50"/>
    </row>
    <row r="63" spans="1:19" x14ac:dyDescent="0.3">
      <c r="A63" s="6" t="s">
        <v>883</v>
      </c>
      <c r="B63" s="6" t="s">
        <v>370</v>
      </c>
      <c r="C63" s="43"/>
      <c r="D63" s="6" t="s">
        <v>882</v>
      </c>
      <c r="E63" s="7" t="s">
        <v>732</v>
      </c>
      <c r="F63" s="7">
        <v>22100233</v>
      </c>
      <c r="G63" s="12" t="s">
        <v>880</v>
      </c>
      <c r="H63" s="13">
        <f>14015.97-7617.7-6385.34-12.93</f>
        <v>-6.1817218011128716E-13</v>
      </c>
      <c r="I63" s="13">
        <f>7617.7+6385.34</f>
        <v>14003.04</v>
      </c>
      <c r="J63" s="12" t="s">
        <v>322</v>
      </c>
      <c r="K63" s="15">
        <v>44188</v>
      </c>
      <c r="L63" s="7" t="s">
        <v>1206</v>
      </c>
      <c r="M63" s="7" t="s">
        <v>362</v>
      </c>
      <c r="N63" s="45"/>
    </row>
    <row r="64" spans="1:19" x14ac:dyDescent="0.3">
      <c r="A64" s="6" t="s">
        <v>884</v>
      </c>
      <c r="B64" s="6" t="s">
        <v>370</v>
      </c>
      <c r="C64" s="43"/>
      <c r="D64" s="6" t="s">
        <v>882</v>
      </c>
      <c r="E64" s="7" t="s">
        <v>732</v>
      </c>
      <c r="F64" s="7">
        <v>22100236</v>
      </c>
      <c r="G64" s="12" t="s">
        <v>881</v>
      </c>
      <c r="H64" s="13">
        <f>34500-14500-10000-10000</f>
        <v>0</v>
      </c>
      <c r="I64" s="13">
        <f>14500+10000+10000</f>
        <v>34500</v>
      </c>
      <c r="J64" s="12" t="s">
        <v>322</v>
      </c>
      <c r="K64" s="15">
        <v>44188</v>
      </c>
      <c r="L64" s="7" t="s">
        <v>1005</v>
      </c>
      <c r="M64" s="7" t="s">
        <v>362</v>
      </c>
      <c r="N64" s="45"/>
    </row>
    <row r="65" spans="1:19" x14ac:dyDescent="0.3">
      <c r="A65" s="6" t="s">
        <v>1207</v>
      </c>
      <c r="B65" s="6" t="s">
        <v>370</v>
      </c>
      <c r="C65" s="43"/>
      <c r="D65" s="6" t="s">
        <v>1208</v>
      </c>
      <c r="E65" s="7" t="s">
        <v>732</v>
      </c>
      <c r="F65" s="7"/>
      <c r="G65" s="12" t="s">
        <v>729</v>
      </c>
      <c r="H65" s="13">
        <f>34500-14500-10000-10000</f>
        <v>0</v>
      </c>
      <c r="I65" s="13">
        <v>-203791.35999999999</v>
      </c>
      <c r="J65" s="12" t="s">
        <v>322</v>
      </c>
      <c r="K65" s="15"/>
      <c r="L65" s="7"/>
      <c r="M65" s="7"/>
      <c r="N65" s="45">
        <v>44347</v>
      </c>
    </row>
    <row r="66" spans="1:19" x14ac:dyDescent="0.3">
      <c r="A66" s="6" t="s">
        <v>1232</v>
      </c>
      <c r="B66" s="6" t="s">
        <v>370</v>
      </c>
      <c r="C66" s="43"/>
      <c r="D66" s="6" t="s">
        <v>1208</v>
      </c>
      <c r="E66" s="7" t="s">
        <v>732</v>
      </c>
      <c r="F66" s="7"/>
      <c r="G66" s="12" t="s">
        <v>729</v>
      </c>
      <c r="H66" s="13">
        <f>34500-14500-10000-10000</f>
        <v>0</v>
      </c>
      <c r="I66" s="13">
        <v>203791.35999999999</v>
      </c>
      <c r="J66" s="12" t="s">
        <v>322</v>
      </c>
      <c r="K66" s="15"/>
      <c r="L66" s="7"/>
      <c r="M66" s="7"/>
      <c r="N66" s="45">
        <v>44408</v>
      </c>
    </row>
    <row r="67" spans="1:19" x14ac:dyDescent="0.3">
      <c r="A67" s="6"/>
      <c r="B67" s="6"/>
      <c r="C67" s="43"/>
      <c r="D67" s="6"/>
      <c r="E67" s="7"/>
      <c r="F67" s="7"/>
      <c r="G67" s="12"/>
      <c r="H67" s="13"/>
      <c r="I67" s="13"/>
      <c r="J67" s="12"/>
      <c r="K67" s="15"/>
      <c r="L67" s="7"/>
      <c r="M67" s="7"/>
      <c r="N67" s="45"/>
    </row>
    <row r="68" spans="1:19" x14ac:dyDescent="0.3">
      <c r="A68" s="6"/>
      <c r="B68" s="6"/>
      <c r="C68" s="43"/>
      <c r="D68" s="6"/>
      <c r="E68" s="7" t="s">
        <v>767</v>
      </c>
      <c r="F68" s="7" t="s">
        <v>52</v>
      </c>
      <c r="G68" s="12"/>
      <c r="H68" s="13"/>
      <c r="I68" s="13"/>
      <c r="J68" s="12"/>
      <c r="K68" s="15"/>
      <c r="L68" s="7"/>
      <c r="M68" s="7"/>
      <c r="N68" s="45"/>
    </row>
    <row r="69" spans="1:19" x14ac:dyDescent="0.3">
      <c r="A69" s="6"/>
      <c r="B69" s="6"/>
      <c r="C69" s="43"/>
      <c r="D69" s="6"/>
      <c r="E69" s="7"/>
      <c r="F69" s="7"/>
      <c r="G69" s="12"/>
      <c r="H69" s="13"/>
      <c r="I69" s="13"/>
      <c r="J69" s="12"/>
      <c r="K69" s="15"/>
      <c r="L69" s="7"/>
      <c r="M69" s="7"/>
      <c r="N69" s="45"/>
    </row>
    <row r="70" spans="1:19" x14ac:dyDescent="0.3">
      <c r="A70" s="6" t="s">
        <v>806</v>
      </c>
      <c r="B70" s="6" t="s">
        <v>195</v>
      </c>
      <c r="C70" s="48">
        <v>13</v>
      </c>
      <c r="D70" s="6" t="s">
        <v>807</v>
      </c>
      <c r="E70" s="7" t="s">
        <v>808</v>
      </c>
      <c r="F70" s="7" t="s">
        <v>52</v>
      </c>
      <c r="G70" s="12" t="s">
        <v>809</v>
      </c>
      <c r="H70" s="44"/>
      <c r="I70" s="44">
        <v>800</v>
      </c>
      <c r="J70" s="12" t="s">
        <v>182</v>
      </c>
      <c r="K70" s="7"/>
      <c r="L70" s="7" t="s">
        <v>168</v>
      </c>
      <c r="M70" s="7" t="s">
        <v>362</v>
      </c>
      <c r="N70" s="161" t="s">
        <v>810</v>
      </c>
    </row>
    <row r="71" spans="1:19" x14ac:dyDescent="0.3">
      <c r="A71" s="6" t="s">
        <v>811</v>
      </c>
      <c r="B71" s="6" t="s">
        <v>195</v>
      </c>
      <c r="C71" s="48">
        <v>24</v>
      </c>
      <c r="D71" s="6" t="s">
        <v>812</v>
      </c>
      <c r="E71" s="7" t="s">
        <v>808</v>
      </c>
      <c r="F71" s="7" t="s">
        <v>52</v>
      </c>
      <c r="G71" s="12" t="s">
        <v>813</v>
      </c>
      <c r="H71" s="44"/>
      <c r="I71" s="44">
        <v>912.6</v>
      </c>
      <c r="J71" s="12" t="s">
        <v>182</v>
      </c>
      <c r="K71" s="7"/>
      <c r="L71" s="7" t="s">
        <v>168</v>
      </c>
      <c r="M71" s="7" t="s">
        <v>362</v>
      </c>
      <c r="N71" s="164">
        <v>44124</v>
      </c>
    </row>
    <row r="72" spans="1:19" x14ac:dyDescent="0.3">
      <c r="A72" s="6"/>
      <c r="B72" s="6"/>
      <c r="C72" s="43"/>
      <c r="D72" s="6"/>
      <c r="E72" s="7" t="s">
        <v>327</v>
      </c>
      <c r="F72" s="7" t="s">
        <v>52</v>
      </c>
      <c r="G72" s="12"/>
      <c r="H72" s="13"/>
      <c r="I72" s="44"/>
      <c r="J72" s="12"/>
      <c r="K72" s="7"/>
      <c r="L72" s="7"/>
      <c r="M72" s="7"/>
      <c r="N72" s="45"/>
    </row>
    <row r="73" spans="1:19" x14ac:dyDescent="0.3">
      <c r="A73" s="6"/>
      <c r="B73" s="6"/>
      <c r="C73" s="43"/>
      <c r="D73" s="6"/>
      <c r="E73" s="7" t="s">
        <v>327</v>
      </c>
      <c r="F73" s="7" t="s">
        <v>52</v>
      </c>
      <c r="G73" s="12"/>
      <c r="H73" s="13"/>
      <c r="I73" s="13"/>
      <c r="J73" s="12"/>
      <c r="K73" s="7"/>
      <c r="L73" s="7"/>
      <c r="M73" s="7"/>
      <c r="N73" s="45"/>
    </row>
    <row r="74" spans="1:19" x14ac:dyDescent="0.3">
      <c r="A74" s="6"/>
      <c r="B74" s="6"/>
      <c r="C74" s="43"/>
      <c r="D74" s="6"/>
      <c r="E74" s="7" t="s">
        <v>328</v>
      </c>
      <c r="F74" s="7" t="s">
        <v>52</v>
      </c>
      <c r="G74" s="12"/>
      <c r="H74" s="13"/>
      <c r="I74" s="44"/>
      <c r="J74" s="12"/>
      <c r="K74" s="7"/>
      <c r="L74" s="7"/>
      <c r="M74" s="7"/>
      <c r="N74" s="45"/>
    </row>
    <row r="75" spans="1:19" x14ac:dyDescent="0.3">
      <c r="A75" s="6"/>
      <c r="B75" s="6"/>
      <c r="C75" s="43"/>
      <c r="D75" s="6"/>
      <c r="E75" s="7" t="s">
        <v>328</v>
      </c>
      <c r="F75" s="7" t="s">
        <v>52</v>
      </c>
      <c r="G75" s="12"/>
      <c r="H75" s="13"/>
      <c r="I75" s="44"/>
      <c r="J75" s="12"/>
      <c r="K75" s="7"/>
      <c r="L75" s="7"/>
      <c r="M75" s="7"/>
      <c r="N75" s="45"/>
    </row>
    <row r="76" spans="1:19" x14ac:dyDescent="0.3">
      <c r="A76" s="6"/>
      <c r="B76" s="6"/>
      <c r="C76" s="43"/>
      <c r="D76" s="6"/>
      <c r="E76" s="7" t="s">
        <v>545</v>
      </c>
      <c r="F76" s="7" t="s">
        <v>52</v>
      </c>
      <c r="G76" s="12"/>
      <c r="H76" s="13"/>
      <c r="I76" s="13"/>
      <c r="J76" s="12"/>
      <c r="K76" s="7"/>
      <c r="L76" s="7"/>
      <c r="M76" s="7"/>
      <c r="N76" s="45"/>
    </row>
    <row r="77" spans="1:19" x14ac:dyDescent="0.3">
      <c r="A77" s="6"/>
      <c r="B77" s="6"/>
      <c r="C77" s="43"/>
      <c r="D77" s="6"/>
      <c r="E77" s="7" t="s">
        <v>545</v>
      </c>
      <c r="F77" s="7" t="s">
        <v>52</v>
      </c>
      <c r="G77" s="12"/>
      <c r="H77" s="13"/>
      <c r="I77" s="13"/>
      <c r="J77" s="12"/>
      <c r="K77" s="7"/>
      <c r="L77" s="7"/>
      <c r="M77" s="7"/>
      <c r="N77" s="45"/>
    </row>
    <row r="78" spans="1:19" ht="14.25" customHeight="1" x14ac:dyDescent="0.3">
      <c r="A78" s="6" t="s">
        <v>408</v>
      </c>
      <c r="B78" s="6" t="s">
        <v>195</v>
      </c>
      <c r="C78" s="43"/>
      <c r="D78" s="6"/>
      <c r="E78" s="7" t="s">
        <v>409</v>
      </c>
      <c r="F78" s="7">
        <v>22000404</v>
      </c>
      <c r="G78" s="12" t="s">
        <v>410</v>
      </c>
      <c r="H78" s="13" t="s">
        <v>1015</v>
      </c>
      <c r="I78" s="44">
        <v>0</v>
      </c>
      <c r="J78" s="12" t="s">
        <v>182</v>
      </c>
      <c r="K78" s="7"/>
      <c r="L78" s="7"/>
      <c r="M78" s="7"/>
      <c r="N78" s="45"/>
      <c r="P78" t="s">
        <v>706</v>
      </c>
      <c r="Q78" s="2"/>
      <c r="S78" s="2"/>
    </row>
    <row r="79" spans="1:19" x14ac:dyDescent="0.3">
      <c r="A79" s="6" t="s">
        <v>408</v>
      </c>
      <c r="B79" s="6" t="s">
        <v>195</v>
      </c>
      <c r="C79" s="43"/>
      <c r="D79" s="6"/>
      <c r="E79" s="7" t="s">
        <v>409</v>
      </c>
      <c r="F79" s="7">
        <v>22000405</v>
      </c>
      <c r="G79" s="12" t="s">
        <v>411</v>
      </c>
      <c r="H79" s="13" t="s">
        <v>1015</v>
      </c>
      <c r="I79" s="44">
        <v>0</v>
      </c>
      <c r="J79" s="12" t="s">
        <v>182</v>
      </c>
      <c r="K79" s="7"/>
      <c r="L79" s="7"/>
      <c r="M79" s="7"/>
      <c r="N79" s="45"/>
      <c r="P79" t="s">
        <v>706</v>
      </c>
      <c r="Q79" s="2"/>
      <c r="S79" s="2"/>
    </row>
    <row r="80" spans="1:19" x14ac:dyDescent="0.3">
      <c r="A80" s="6" t="s">
        <v>534</v>
      </c>
      <c r="B80" s="6" t="s">
        <v>13</v>
      </c>
      <c r="C80" s="43"/>
      <c r="D80" s="6"/>
      <c r="E80" s="7" t="s">
        <v>409</v>
      </c>
      <c r="F80" s="7">
        <v>22000427</v>
      </c>
      <c r="G80" s="12" t="s">
        <v>535</v>
      </c>
      <c r="H80" s="13">
        <f>90000-4756-2132-164-82948</f>
        <v>0</v>
      </c>
      <c r="I80" s="44">
        <f>4756+2132+164</f>
        <v>7052</v>
      </c>
      <c r="J80" s="12" t="s">
        <v>322</v>
      </c>
      <c r="K80" s="15">
        <v>44225</v>
      </c>
      <c r="L80" s="7">
        <v>241101</v>
      </c>
      <c r="M80" s="7" t="s">
        <v>362</v>
      </c>
      <c r="N80" s="45"/>
      <c r="P80" t="s">
        <v>739</v>
      </c>
      <c r="Q80" s="2" t="s">
        <v>740</v>
      </c>
      <c r="R80" t="s">
        <v>740</v>
      </c>
      <c r="S80" s="2"/>
    </row>
    <row r="81" spans="1:19" x14ac:dyDescent="0.3">
      <c r="A81" s="6" t="s">
        <v>727</v>
      </c>
      <c r="B81" s="6" t="s">
        <v>370</v>
      </c>
      <c r="C81" s="43"/>
      <c r="D81" s="6" t="s">
        <v>728</v>
      </c>
      <c r="E81" s="7" t="s">
        <v>409</v>
      </c>
      <c r="F81" s="7">
        <v>22000546</v>
      </c>
      <c r="G81" s="12" t="s">
        <v>729</v>
      </c>
      <c r="H81" s="13" t="s">
        <v>1015</v>
      </c>
      <c r="I81" s="44">
        <v>0</v>
      </c>
      <c r="J81" s="12" t="s">
        <v>322</v>
      </c>
      <c r="K81" s="15">
        <v>44095</v>
      </c>
      <c r="L81" s="7" t="s">
        <v>766</v>
      </c>
      <c r="M81" s="7" t="s">
        <v>362</v>
      </c>
      <c r="N81" s="45"/>
      <c r="P81" t="s">
        <v>790</v>
      </c>
      <c r="Q81" s="2">
        <v>6599</v>
      </c>
      <c r="S81" s="2" t="s">
        <v>791</v>
      </c>
    </row>
    <row r="82" spans="1:19" x14ac:dyDescent="0.3">
      <c r="A82" s="6" t="s">
        <v>913</v>
      </c>
      <c r="B82" s="6" t="s">
        <v>370</v>
      </c>
      <c r="C82" s="43"/>
      <c r="D82" s="6" t="s">
        <v>914</v>
      </c>
      <c r="E82" s="7" t="s">
        <v>409</v>
      </c>
      <c r="F82" s="7">
        <v>22100269</v>
      </c>
      <c r="G82" s="12" t="s">
        <v>649</v>
      </c>
      <c r="H82" s="13">
        <f>48607.84-5562.23-43045.61</f>
        <v>0</v>
      </c>
      <c r="I82" s="44">
        <f>5562.23</f>
        <v>5562.23</v>
      </c>
      <c r="J82" s="12" t="s">
        <v>322</v>
      </c>
      <c r="K82" s="15">
        <v>44218</v>
      </c>
      <c r="L82" s="7">
        <v>241068</v>
      </c>
      <c r="M82" s="7" t="s">
        <v>362</v>
      </c>
      <c r="N82" s="182" t="s">
        <v>1228</v>
      </c>
      <c r="Q82" s="2">
        <v>6599</v>
      </c>
      <c r="S82" s="2" t="s">
        <v>791</v>
      </c>
    </row>
    <row r="83" spans="1:19" ht="14.25" customHeight="1" x14ac:dyDescent="0.3">
      <c r="A83" s="6"/>
      <c r="B83" s="6"/>
      <c r="C83" s="43"/>
      <c r="D83" s="6"/>
      <c r="E83" s="7" t="s">
        <v>409</v>
      </c>
      <c r="F83" s="7"/>
      <c r="G83" s="12"/>
      <c r="H83" s="13"/>
      <c r="I83" s="44"/>
      <c r="J83" s="12"/>
      <c r="K83" s="7"/>
      <c r="L83" s="7"/>
      <c r="M83" s="7"/>
      <c r="N83" s="45"/>
    </row>
    <row r="84" spans="1:19" x14ac:dyDescent="0.3">
      <c r="A84" s="6"/>
      <c r="B84" s="6"/>
      <c r="C84" s="43"/>
      <c r="D84" s="6"/>
      <c r="E84" s="7" t="s">
        <v>409</v>
      </c>
      <c r="F84" s="7"/>
      <c r="G84" s="12"/>
      <c r="H84" s="13"/>
      <c r="I84" s="44"/>
      <c r="J84" s="12"/>
      <c r="K84" s="7"/>
      <c r="L84" s="7"/>
      <c r="M84" s="7"/>
      <c r="N84" s="45"/>
    </row>
    <row r="85" spans="1:19" x14ac:dyDescent="0.3">
      <c r="A85" s="6" t="s">
        <v>507</v>
      </c>
      <c r="B85" s="6" t="s">
        <v>161</v>
      </c>
      <c r="C85" s="43" t="s">
        <v>506</v>
      </c>
      <c r="D85" s="6" t="s">
        <v>508</v>
      </c>
      <c r="E85" s="7" t="s">
        <v>509</v>
      </c>
      <c r="F85" s="7" t="s">
        <v>52</v>
      </c>
      <c r="G85" s="12" t="s">
        <v>507</v>
      </c>
      <c r="H85" s="13"/>
      <c r="I85" s="44">
        <v>49.99</v>
      </c>
      <c r="J85" s="12" t="s">
        <v>775</v>
      </c>
      <c r="K85" s="7"/>
      <c r="L85" s="7" t="s">
        <v>168</v>
      </c>
      <c r="M85" s="7" t="s">
        <v>362</v>
      </c>
      <c r="N85" s="165">
        <v>44105</v>
      </c>
    </row>
    <row r="86" spans="1:19" x14ac:dyDescent="0.3">
      <c r="A86" s="6" t="s">
        <v>507</v>
      </c>
      <c r="B86" s="6" t="s">
        <v>161</v>
      </c>
      <c r="C86" s="43" t="s">
        <v>506</v>
      </c>
      <c r="D86" s="6" t="s">
        <v>508</v>
      </c>
      <c r="E86" s="7" t="s">
        <v>509</v>
      </c>
      <c r="F86" s="7" t="s">
        <v>52</v>
      </c>
      <c r="G86" s="12" t="s">
        <v>507</v>
      </c>
      <c r="H86" s="13"/>
      <c r="I86" s="44">
        <v>49.99</v>
      </c>
      <c r="J86" s="12" t="s">
        <v>775</v>
      </c>
      <c r="K86" s="7"/>
      <c r="L86" s="7" t="s">
        <v>168</v>
      </c>
      <c r="M86" s="7" t="s">
        <v>362</v>
      </c>
      <c r="N86" s="50">
        <v>44136</v>
      </c>
    </row>
    <row r="87" spans="1:19" x14ac:dyDescent="0.3">
      <c r="A87" s="6" t="s">
        <v>507</v>
      </c>
      <c r="B87" s="6" t="s">
        <v>161</v>
      </c>
      <c r="C87" s="43" t="s">
        <v>506</v>
      </c>
      <c r="D87" s="6" t="s">
        <v>508</v>
      </c>
      <c r="E87" s="7" t="s">
        <v>509</v>
      </c>
      <c r="F87" s="7" t="s">
        <v>52</v>
      </c>
      <c r="G87" s="12" t="s">
        <v>507</v>
      </c>
      <c r="H87" s="13"/>
      <c r="I87" s="44">
        <v>49.99</v>
      </c>
      <c r="J87" s="12" t="s">
        <v>775</v>
      </c>
      <c r="K87" s="7"/>
      <c r="L87" s="7" t="s">
        <v>168</v>
      </c>
      <c r="M87" s="7" t="s">
        <v>362</v>
      </c>
      <c r="N87" s="50">
        <v>44166</v>
      </c>
    </row>
    <row r="88" spans="1:19" x14ac:dyDescent="0.3">
      <c r="A88" s="6" t="s">
        <v>507</v>
      </c>
      <c r="B88" s="6" t="s">
        <v>161</v>
      </c>
      <c r="C88" s="43" t="s">
        <v>506</v>
      </c>
      <c r="D88" s="6" t="s">
        <v>508</v>
      </c>
      <c r="E88" s="7" t="s">
        <v>509</v>
      </c>
      <c r="F88" s="7" t="s">
        <v>52</v>
      </c>
      <c r="G88" s="12" t="s">
        <v>507</v>
      </c>
      <c r="H88" s="13"/>
      <c r="I88" s="44">
        <v>49.99</v>
      </c>
      <c r="J88" s="12" t="s">
        <v>775</v>
      </c>
      <c r="K88" s="7"/>
      <c r="L88" s="7" t="s">
        <v>168</v>
      </c>
      <c r="M88" s="7" t="s">
        <v>362</v>
      </c>
      <c r="N88" s="45">
        <v>44202</v>
      </c>
      <c r="S88" s="2"/>
    </row>
    <row r="89" spans="1:19" x14ac:dyDescent="0.3">
      <c r="A89" s="6" t="s">
        <v>507</v>
      </c>
      <c r="B89" s="6" t="s">
        <v>161</v>
      </c>
      <c r="C89" s="43" t="s">
        <v>506</v>
      </c>
      <c r="D89" s="6" t="s">
        <v>508</v>
      </c>
      <c r="E89" s="7" t="s">
        <v>509</v>
      </c>
      <c r="F89" s="7" t="s">
        <v>52</v>
      </c>
      <c r="G89" s="12" t="s">
        <v>507</v>
      </c>
      <c r="H89" s="13"/>
      <c r="I89" s="44">
        <v>49.99</v>
      </c>
      <c r="J89" s="12" t="s">
        <v>775</v>
      </c>
      <c r="K89" s="7"/>
      <c r="L89" s="7" t="s">
        <v>168</v>
      </c>
      <c r="M89" s="7" t="s">
        <v>362</v>
      </c>
      <c r="N89" s="45">
        <v>44233</v>
      </c>
      <c r="S89" s="2"/>
    </row>
    <row r="90" spans="1:19" x14ac:dyDescent="0.3">
      <c r="A90" s="6" t="s">
        <v>507</v>
      </c>
      <c r="B90" s="6" t="s">
        <v>161</v>
      </c>
      <c r="C90" s="43" t="s">
        <v>506</v>
      </c>
      <c r="D90" s="6" t="s">
        <v>508</v>
      </c>
      <c r="E90" s="7" t="s">
        <v>509</v>
      </c>
      <c r="F90" s="7" t="s">
        <v>52</v>
      </c>
      <c r="G90" s="12" t="s">
        <v>507</v>
      </c>
      <c r="H90" s="13"/>
      <c r="I90" s="44">
        <v>49.99</v>
      </c>
      <c r="J90" s="12" t="s">
        <v>775</v>
      </c>
      <c r="K90" s="7"/>
      <c r="L90" s="7" t="s">
        <v>168</v>
      </c>
      <c r="M90" s="7" t="s">
        <v>362</v>
      </c>
      <c r="N90" s="45">
        <v>44261</v>
      </c>
      <c r="S90" s="2"/>
    </row>
    <row r="91" spans="1:19" x14ac:dyDescent="0.3">
      <c r="A91" s="6" t="s">
        <v>507</v>
      </c>
      <c r="B91" s="6" t="s">
        <v>161</v>
      </c>
      <c r="C91" s="43" t="s">
        <v>506</v>
      </c>
      <c r="D91" s="6" t="s">
        <v>508</v>
      </c>
      <c r="E91" s="7" t="s">
        <v>509</v>
      </c>
      <c r="F91" s="7" t="s">
        <v>52</v>
      </c>
      <c r="G91" s="12" t="s">
        <v>507</v>
      </c>
      <c r="H91" s="13"/>
      <c r="I91" s="44">
        <v>49.99</v>
      </c>
      <c r="J91" s="12" t="s">
        <v>775</v>
      </c>
      <c r="K91" s="7"/>
      <c r="L91" s="7" t="s">
        <v>168</v>
      </c>
      <c r="M91" s="7" t="s">
        <v>362</v>
      </c>
      <c r="N91" s="45">
        <v>44292</v>
      </c>
      <c r="S91" s="2"/>
    </row>
    <row r="92" spans="1:19" x14ac:dyDescent="0.3">
      <c r="A92" s="6" t="s">
        <v>507</v>
      </c>
      <c r="B92" s="6" t="s">
        <v>161</v>
      </c>
      <c r="C92" s="43" t="s">
        <v>506</v>
      </c>
      <c r="D92" s="6" t="s">
        <v>508</v>
      </c>
      <c r="E92" s="7" t="s">
        <v>509</v>
      </c>
      <c r="F92" s="7" t="s">
        <v>52</v>
      </c>
      <c r="G92" s="12" t="s">
        <v>507</v>
      </c>
      <c r="H92" s="13"/>
      <c r="I92" s="44">
        <v>49.99</v>
      </c>
      <c r="J92" s="12" t="s">
        <v>775</v>
      </c>
      <c r="K92" s="7"/>
      <c r="L92" s="7" t="s">
        <v>168</v>
      </c>
      <c r="M92" s="7" t="s">
        <v>362</v>
      </c>
      <c r="N92" s="45">
        <v>44322</v>
      </c>
      <c r="S92" s="2"/>
    </row>
    <row r="93" spans="1:19" x14ac:dyDescent="0.3">
      <c r="A93" s="6" t="s">
        <v>507</v>
      </c>
      <c r="B93" s="6" t="s">
        <v>161</v>
      </c>
      <c r="C93" s="43" t="s">
        <v>506</v>
      </c>
      <c r="D93" s="6" t="s">
        <v>508</v>
      </c>
      <c r="E93" s="7" t="s">
        <v>509</v>
      </c>
      <c r="F93" s="7" t="s">
        <v>52</v>
      </c>
      <c r="G93" s="12" t="s">
        <v>507</v>
      </c>
      <c r="H93" s="13"/>
      <c r="I93" s="44">
        <v>49.99</v>
      </c>
      <c r="J93" s="12" t="s">
        <v>775</v>
      </c>
      <c r="K93" s="7"/>
      <c r="L93" s="7" t="s">
        <v>168</v>
      </c>
      <c r="M93" s="7" t="s">
        <v>362</v>
      </c>
      <c r="N93" s="45">
        <v>44353</v>
      </c>
      <c r="S93" s="2"/>
    </row>
    <row r="94" spans="1:19" x14ac:dyDescent="0.3">
      <c r="A94" s="6"/>
      <c r="B94" s="6"/>
      <c r="C94" s="43"/>
      <c r="D94" s="6"/>
      <c r="E94" s="7"/>
      <c r="F94" s="7"/>
      <c r="G94" s="12"/>
      <c r="H94" s="13"/>
      <c r="I94" s="44"/>
      <c r="J94" s="12"/>
      <c r="K94" s="7"/>
      <c r="L94" s="7"/>
      <c r="M94" s="7"/>
      <c r="N94" s="45"/>
      <c r="S94" s="2"/>
    </row>
    <row r="95" spans="1:19" x14ac:dyDescent="0.3">
      <c r="A95" s="6" t="s">
        <v>1219</v>
      </c>
      <c r="B95" s="6" t="s">
        <v>574</v>
      </c>
      <c r="C95" s="43"/>
      <c r="D95" s="6" t="s">
        <v>1221</v>
      </c>
      <c r="E95" s="7" t="s">
        <v>1218</v>
      </c>
      <c r="F95" s="7"/>
      <c r="G95" s="12"/>
      <c r="H95" s="13">
        <f>30000-30000</f>
        <v>0</v>
      </c>
      <c r="I95" s="44">
        <v>30000</v>
      </c>
      <c r="J95" s="12" t="s">
        <v>1220</v>
      </c>
      <c r="K95" s="7"/>
      <c r="L95" s="7"/>
      <c r="M95" s="7"/>
      <c r="N95" s="45"/>
      <c r="S95" s="2"/>
    </row>
    <row r="96" spans="1:19" x14ac:dyDescent="0.3">
      <c r="A96" s="6"/>
      <c r="B96" s="6"/>
      <c r="C96" s="43"/>
      <c r="D96" s="6"/>
      <c r="E96" s="7"/>
      <c r="F96" s="7"/>
      <c r="G96" s="12"/>
      <c r="H96" s="13"/>
      <c r="I96" s="44"/>
      <c r="J96" s="12"/>
      <c r="K96" s="7"/>
      <c r="L96" s="7"/>
      <c r="M96" s="7"/>
      <c r="N96" s="45"/>
      <c r="S96" s="2"/>
    </row>
    <row r="97" spans="1:19" x14ac:dyDescent="0.3">
      <c r="A97" s="6" t="s">
        <v>1156</v>
      </c>
      <c r="B97" s="6" t="s">
        <v>647</v>
      </c>
      <c r="C97" s="43"/>
      <c r="D97" s="6" t="s">
        <v>1157</v>
      </c>
      <c r="E97" s="7" t="s">
        <v>782</v>
      </c>
      <c r="F97" s="7">
        <v>22100434</v>
      </c>
      <c r="G97" s="12" t="s">
        <v>649</v>
      </c>
      <c r="H97" s="13">
        <f>93581.33-93581.33</f>
        <v>0</v>
      </c>
      <c r="I97" s="44">
        <v>93581.33</v>
      </c>
      <c r="J97" s="12" t="s">
        <v>1158</v>
      </c>
      <c r="K97" s="15"/>
      <c r="L97" s="7"/>
      <c r="M97" s="7"/>
      <c r="N97" s="50"/>
    </row>
    <row r="98" spans="1:19" x14ac:dyDescent="0.3">
      <c r="A98" s="6"/>
      <c r="B98" s="6"/>
      <c r="C98" s="43"/>
      <c r="D98" s="6"/>
      <c r="E98" s="7" t="s">
        <v>329</v>
      </c>
      <c r="F98" s="7" t="s">
        <v>52</v>
      </c>
      <c r="G98" s="12"/>
      <c r="H98" s="13"/>
      <c r="I98" s="13"/>
      <c r="J98" s="12"/>
      <c r="K98" s="7"/>
      <c r="L98" s="7"/>
      <c r="M98" s="7"/>
      <c r="N98" s="45"/>
    </row>
    <row r="99" spans="1:19" ht="72" x14ac:dyDescent="0.3">
      <c r="A99" s="6" t="s">
        <v>653</v>
      </c>
      <c r="B99" s="6" t="s">
        <v>13</v>
      </c>
      <c r="C99" s="135" t="s">
        <v>657</v>
      </c>
      <c r="D99" s="6" t="s">
        <v>656</v>
      </c>
      <c r="E99" s="7" t="s">
        <v>651</v>
      </c>
      <c r="F99" s="7">
        <v>22000464</v>
      </c>
      <c r="G99" s="12" t="s">
        <v>652</v>
      </c>
      <c r="H99" s="44">
        <f>122345-122345</f>
        <v>0</v>
      </c>
      <c r="I99" s="44">
        <v>122345</v>
      </c>
      <c r="J99" s="12" t="s">
        <v>658</v>
      </c>
      <c r="K99" s="15">
        <v>44316</v>
      </c>
      <c r="L99" s="7">
        <v>242298</v>
      </c>
      <c r="M99" s="7" t="s">
        <v>362</v>
      </c>
      <c r="N99" s="45"/>
      <c r="Q99" t="s">
        <v>799</v>
      </c>
      <c r="R99" s="156" t="s">
        <v>800</v>
      </c>
      <c r="S99" s="2"/>
    </row>
    <row r="100" spans="1:19" x14ac:dyDescent="0.3">
      <c r="A100" s="6" t="s">
        <v>654</v>
      </c>
      <c r="B100" s="6" t="s">
        <v>13</v>
      </c>
      <c r="C100" s="43">
        <v>6</v>
      </c>
      <c r="D100" s="6" t="s">
        <v>659</v>
      </c>
      <c r="E100" s="7" t="s">
        <v>651</v>
      </c>
      <c r="F100" s="7">
        <v>22000465</v>
      </c>
      <c r="G100" s="12" t="s">
        <v>655</v>
      </c>
      <c r="H100" s="13">
        <f>95140.87-65211.96-981.89-28796.75+2750+350+2410.56+27018.08-2750-150.27-350-2410.56-27018.08</f>
        <v>0</v>
      </c>
      <c r="I100" s="13">
        <f>65211.96+2750+150.27+29778.64</f>
        <v>97890.87</v>
      </c>
      <c r="J100" s="12" t="s">
        <v>658</v>
      </c>
      <c r="K100" s="15" t="s">
        <v>927</v>
      </c>
      <c r="L100" s="7" t="s">
        <v>1056</v>
      </c>
      <c r="M100" s="7" t="s">
        <v>362</v>
      </c>
      <c r="N100" s="45"/>
      <c r="P100" t="s">
        <v>707</v>
      </c>
    </row>
    <row r="101" spans="1:19" x14ac:dyDescent="0.3">
      <c r="A101" s="6" t="s">
        <v>743</v>
      </c>
      <c r="B101" s="6" t="s">
        <v>574</v>
      </c>
      <c r="C101" s="43">
        <v>1</v>
      </c>
      <c r="D101" s="6" t="s">
        <v>744</v>
      </c>
      <c r="E101" s="7" t="s">
        <v>651</v>
      </c>
      <c r="F101" s="7">
        <v>22000550</v>
      </c>
      <c r="G101" s="12" t="s">
        <v>745</v>
      </c>
      <c r="H101" s="13">
        <v>0</v>
      </c>
      <c r="I101" s="13">
        <v>18114</v>
      </c>
      <c r="J101" s="12" t="s">
        <v>322</v>
      </c>
      <c r="K101" s="15">
        <v>44134</v>
      </c>
      <c r="L101" s="7">
        <v>240179</v>
      </c>
      <c r="M101" s="7" t="s">
        <v>362</v>
      </c>
      <c r="N101" s="45"/>
      <c r="S101" s="2"/>
    </row>
    <row r="102" spans="1:19" x14ac:dyDescent="0.3">
      <c r="A102" s="6" t="s">
        <v>887</v>
      </c>
      <c r="B102" s="6" t="s">
        <v>574</v>
      </c>
      <c r="C102" s="43">
        <v>3</v>
      </c>
      <c r="D102" s="6" t="s">
        <v>889</v>
      </c>
      <c r="E102" s="7" t="s">
        <v>651</v>
      </c>
      <c r="F102" s="7">
        <v>22100244</v>
      </c>
      <c r="G102" s="12" t="s">
        <v>886</v>
      </c>
      <c r="H102" s="13">
        <f>56661.9-56661.9</f>
        <v>0</v>
      </c>
      <c r="I102" s="13">
        <v>56661.9</v>
      </c>
      <c r="J102" s="12" t="s">
        <v>888</v>
      </c>
      <c r="K102" s="15">
        <v>44225</v>
      </c>
      <c r="L102" s="7">
        <v>241158</v>
      </c>
      <c r="M102" s="7" t="s">
        <v>362</v>
      </c>
      <c r="N102" s="45"/>
      <c r="S102" s="2"/>
    </row>
    <row r="103" spans="1:19" x14ac:dyDescent="0.3">
      <c r="A103" s="6"/>
      <c r="B103" s="6"/>
      <c r="C103" s="43"/>
      <c r="D103" s="6"/>
      <c r="E103" s="7" t="s">
        <v>651</v>
      </c>
      <c r="F103" s="7"/>
      <c r="G103" s="12"/>
      <c r="H103" s="13"/>
      <c r="I103" s="13"/>
      <c r="J103" s="12"/>
      <c r="K103" s="15"/>
      <c r="L103" s="7"/>
      <c r="M103" s="7"/>
      <c r="N103" s="45"/>
    </row>
    <row r="104" spans="1:19" x14ac:dyDescent="0.3">
      <c r="A104" s="6"/>
      <c r="B104" s="6"/>
      <c r="C104" s="43"/>
      <c r="D104" s="6"/>
      <c r="E104" s="7"/>
      <c r="F104" s="7"/>
      <c r="G104" s="12"/>
      <c r="H104" s="13"/>
      <c r="I104" s="13"/>
      <c r="J104" s="12"/>
      <c r="K104" s="7"/>
      <c r="L104" s="7"/>
      <c r="M104" s="7"/>
    </row>
    <row r="105" spans="1:19" x14ac:dyDescent="0.3">
      <c r="H105" s="9">
        <f>SUM(H6:H104)</f>
        <v>-6.1817218011128716E-13</v>
      </c>
      <c r="I105" s="9">
        <f>SUM(I6:I104)</f>
        <v>518086.46000000008</v>
      </c>
      <c r="L105" s="128" t="s">
        <v>548</v>
      </c>
      <c r="M105" s="129"/>
    </row>
    <row r="106" spans="1:19" x14ac:dyDescent="0.3">
      <c r="G106" s="47" t="s">
        <v>28</v>
      </c>
      <c r="H106" s="9">
        <v>0</v>
      </c>
      <c r="I106" s="9">
        <v>518086.46</v>
      </c>
    </row>
    <row r="107" spans="1:19" x14ac:dyDescent="0.3">
      <c r="G107" s="47" t="s">
        <v>303</v>
      </c>
      <c r="H107" s="9">
        <f>H106-H105</f>
        <v>6.1817218011128716E-13</v>
      </c>
      <c r="I107" s="9">
        <f>I106-I105</f>
        <v>0</v>
      </c>
    </row>
    <row r="109" spans="1:19" x14ac:dyDescent="0.3">
      <c r="G109" s="8" t="s">
        <v>13</v>
      </c>
      <c r="H109" s="9">
        <f>SUMIF($B$6:$B104,"Fire Dept Adm",$H$6:$H104)</f>
        <v>0</v>
      </c>
      <c r="I109" s="9">
        <f>SUMIF($B$6:$B104,"Fire Dept Adm",$I$6:$I104)</f>
        <v>235348.52</v>
      </c>
    </row>
    <row r="110" spans="1:19" x14ac:dyDescent="0.3">
      <c r="G110" s="8" t="s">
        <v>574</v>
      </c>
      <c r="H110" s="9">
        <f>SUMIF($B$6:$B$104,"OEM",$H$6:$H$104)</f>
        <v>0</v>
      </c>
      <c r="I110" s="9">
        <f>SUMIF($B$6:$B$104,"OEM",$I$6:$I$104)</f>
        <v>118165.79000000001</v>
      </c>
    </row>
    <row r="111" spans="1:19" x14ac:dyDescent="0.3">
      <c r="G111" s="8" t="s">
        <v>46</v>
      </c>
      <c r="H111" s="9">
        <f>SUMIF($B$6:$B$104,"Police",$H$6:$H$104)</f>
        <v>0</v>
      </c>
      <c r="I111" s="9">
        <f>SUMIF($B$6:$B$104,"Police",$I$6:$I$104)</f>
        <v>1400</v>
      </c>
    </row>
    <row r="112" spans="1:19" x14ac:dyDescent="0.3">
      <c r="G112" s="8" t="s">
        <v>195</v>
      </c>
      <c r="H112" s="9">
        <f>SUMIF($B$6:$B$104,"Public Works",$H$6:$H$104)</f>
        <v>0</v>
      </c>
      <c r="I112" s="9">
        <f>SUMIF($B$6:$B$104,"Public Works",$I$6:$I$104)</f>
        <v>11658.590000000002</v>
      </c>
    </row>
    <row r="113" spans="1:14" x14ac:dyDescent="0.3">
      <c r="G113" s="8" t="s">
        <v>280</v>
      </c>
      <c r="H113" s="9">
        <f>SUMIF($B$6:$B$104,"Commun Dev",$H$6:$H$104)</f>
        <v>0</v>
      </c>
      <c r="I113" s="9">
        <f>SUMIF($B$6:$B$104,"Commun Dev",$I$6:$I$104)</f>
        <v>0</v>
      </c>
    </row>
    <row r="114" spans="1:14" x14ac:dyDescent="0.3">
      <c r="G114" s="8" t="s">
        <v>161</v>
      </c>
      <c r="H114" s="9">
        <f>SUMIF($B$6:$B$104,"Parks &amp; Rec",$H$6:$H$104)</f>
        <v>0</v>
      </c>
      <c r="I114" s="9">
        <f>SUMIF($B$6:$B$104,"Parks &amp; Rec",$I$6:$I$104)</f>
        <v>547.93000000000006</v>
      </c>
    </row>
    <row r="115" spans="1:14" x14ac:dyDescent="0.3">
      <c r="G115" s="8" t="s">
        <v>293</v>
      </c>
      <c r="H115" s="9">
        <f>SUMIF($B$6:$B$104,"Library",$H$6:$H$104)</f>
        <v>0</v>
      </c>
      <c r="I115" s="9">
        <f>SUMIF($B$6:$B$104,"Library",$I$6:$I$104)</f>
        <v>3040.72</v>
      </c>
    </row>
    <row r="116" spans="1:14" x14ac:dyDescent="0.3">
      <c r="G116" s="8" t="s">
        <v>377</v>
      </c>
      <c r="H116" s="9">
        <f>SUMIF($B$6:$B$104,"Neighb Life",$H$6:$H$104)</f>
        <v>0</v>
      </c>
      <c r="I116" s="9">
        <f>SUMIF($B$6:$B$104,"Neighb Life",$I$6:$I$104)</f>
        <v>0</v>
      </c>
    </row>
    <row r="117" spans="1:14" x14ac:dyDescent="0.3">
      <c r="G117" s="8" t="s">
        <v>310</v>
      </c>
      <c r="H117" s="9">
        <f>SUMIF($B$6:$B$104,"CM Office",$H$6:$H$104)</f>
        <v>0</v>
      </c>
      <c r="I117" s="9">
        <f>SUMIF($B$6:$B$104,"CM Office",$I$6:$I$104)</f>
        <v>278.31</v>
      </c>
    </row>
    <row r="118" spans="1:14" x14ac:dyDescent="0.3">
      <c r="G118" s="8" t="s">
        <v>305</v>
      </c>
      <c r="H118" s="9">
        <f>SUMIF($B$6:$B$104,"Public Info",$H$6:$H$104)</f>
        <v>0</v>
      </c>
      <c r="I118" s="9">
        <f>SUMIF($B$6:$B$104,"Public Info",$I$6:$I$104)</f>
        <v>0</v>
      </c>
    </row>
    <row r="119" spans="1:14" x14ac:dyDescent="0.3">
      <c r="G119" s="8" t="s">
        <v>212</v>
      </c>
      <c r="H119" s="9">
        <f>SUMIF($B$6:$B$104,"Court",$H$6:$H$104)</f>
        <v>0</v>
      </c>
      <c r="I119" s="9">
        <f>SUMIF($B$6:$B$104,"Court",$I$6:$I$104)</f>
        <v>0</v>
      </c>
    </row>
    <row r="120" spans="1:14" x14ac:dyDescent="0.3">
      <c r="G120" s="8" t="s">
        <v>379</v>
      </c>
      <c r="H120" s="9">
        <f>SUMIF($B$6:$B$104,"IT",$H$6:$H$104)</f>
        <v>0</v>
      </c>
      <c r="I120" s="9">
        <f>SUMIF($B$6:$B$104,"IT",$I$6:$I$104)</f>
        <v>0</v>
      </c>
    </row>
    <row r="121" spans="1:14" x14ac:dyDescent="0.3">
      <c r="G121" s="8" t="s">
        <v>647</v>
      </c>
      <c r="H121" s="9">
        <f>SUMIF($B$6:$B$104,"Econ Dev",$H$6:$H$104)</f>
        <v>0</v>
      </c>
      <c r="I121" s="9">
        <f>SUMIF($B$6:$B$104,"Econ Dev",$I$6:$I$104)</f>
        <v>93581.33</v>
      </c>
    </row>
    <row r="122" spans="1:14" x14ac:dyDescent="0.3">
      <c r="G122" s="56" t="s">
        <v>397</v>
      </c>
      <c r="H122" s="9">
        <f>SUMIF($B$6:$B$104,"Unknown at this time",$H$6:$H$104)</f>
        <v>0</v>
      </c>
      <c r="I122" s="9">
        <f>SUMIF($B$6:$B$104,"Unknown at this time",$I$6:$I$104)</f>
        <v>0</v>
      </c>
    </row>
    <row r="123" spans="1:14" x14ac:dyDescent="0.3">
      <c r="G123" s="8" t="s">
        <v>378</v>
      </c>
      <c r="H123" s="9">
        <f>SUMIF($B$6:$B$104,"City-Wide",$H$6:$H$104)</f>
        <v>-6.1817218011128716E-13</v>
      </c>
      <c r="I123" s="9">
        <f>SUMIF($B$6:$B$104,"City-Wide",$I$6:$I$104)</f>
        <v>54065.270000000004</v>
      </c>
    </row>
    <row r="124" spans="1:14" x14ac:dyDescent="0.3">
      <c r="G124" s="8" t="s">
        <v>753</v>
      </c>
      <c r="H124" s="9">
        <f>SUMIF($B$6:$B$104,"Grant Rcls",$H$6:$H$104)</f>
        <v>0</v>
      </c>
      <c r="I124" s="9">
        <f>SUMIF($B$16:$B$104,"Grant Rcls",$I$16:$I$104)</f>
        <v>0</v>
      </c>
    </row>
    <row r="125" spans="1:14" x14ac:dyDescent="0.3">
      <c r="H125" s="51">
        <f>SUM(H109:H124)</f>
        <v>-6.1817218011128716E-13</v>
      </c>
      <c r="I125" s="51">
        <f>SUM(I109:I124)</f>
        <v>518086.46</v>
      </c>
    </row>
    <row r="126" spans="1:14" x14ac:dyDescent="0.3">
      <c r="H126" s="20">
        <f>H106-H125</f>
        <v>6.1817218011128716E-13</v>
      </c>
      <c r="I126" s="20">
        <f>I106-I125</f>
        <v>0</v>
      </c>
    </row>
    <row r="127" spans="1:14" x14ac:dyDescent="0.3">
      <c r="H127" s="20"/>
      <c r="I127" s="20"/>
    </row>
    <row r="128" spans="1:14" ht="9.75" customHeight="1" x14ac:dyDescent="0.3">
      <c r="A128" s="52"/>
      <c r="B128" s="52"/>
      <c r="C128" s="53"/>
      <c r="D128" s="52"/>
      <c r="E128" s="53"/>
      <c r="F128" s="53"/>
      <c r="G128" s="54"/>
      <c r="H128" s="55"/>
      <c r="I128" s="55"/>
      <c r="J128" s="52"/>
      <c r="K128" s="53"/>
      <c r="L128" s="53"/>
      <c r="M128" s="52"/>
      <c r="N128" s="52"/>
    </row>
    <row r="129" spans="1:19" x14ac:dyDescent="0.3">
      <c r="A129" s="57" t="s">
        <v>190</v>
      </c>
    </row>
    <row r="130" spans="1:19" x14ac:dyDescent="0.3">
      <c r="A130" s="6"/>
      <c r="B130" s="6"/>
      <c r="C130" s="43"/>
      <c r="D130" s="6"/>
      <c r="E130" s="7"/>
      <c r="F130" s="7"/>
      <c r="G130" s="12"/>
      <c r="H130" s="13"/>
      <c r="I130" s="44"/>
      <c r="J130" s="12"/>
      <c r="K130" s="7"/>
      <c r="L130" s="7"/>
      <c r="M130" s="7"/>
      <c r="N130" s="45"/>
      <c r="S130" s="2"/>
    </row>
    <row r="131" spans="1:19" x14ac:dyDescent="0.3">
      <c r="A131" s="6"/>
      <c r="B131" s="6"/>
      <c r="C131" s="43"/>
      <c r="D131" s="6"/>
      <c r="E131" s="7"/>
      <c r="F131" s="7"/>
      <c r="G131" s="12"/>
      <c r="H131" s="13"/>
      <c r="I131" s="44"/>
      <c r="J131" s="12"/>
      <c r="K131" s="7"/>
      <c r="L131" s="7"/>
      <c r="M131" s="7"/>
      <c r="N131" s="45"/>
      <c r="S131" s="2"/>
    </row>
    <row r="132" spans="1:19" x14ac:dyDescent="0.3">
      <c r="A132" s="6" t="s">
        <v>507</v>
      </c>
      <c r="B132" s="6" t="s">
        <v>161</v>
      </c>
      <c r="C132" s="43" t="s">
        <v>506</v>
      </c>
      <c r="D132" s="6" t="s">
        <v>508</v>
      </c>
      <c r="E132" s="7" t="s">
        <v>509</v>
      </c>
      <c r="F132" s="7" t="s">
        <v>52</v>
      </c>
      <c r="G132" s="12" t="s">
        <v>507</v>
      </c>
      <c r="H132" s="13"/>
      <c r="I132" s="44">
        <v>49.99</v>
      </c>
      <c r="J132" s="12" t="s">
        <v>775</v>
      </c>
      <c r="K132" s="7"/>
      <c r="L132" s="7" t="s">
        <v>168</v>
      </c>
      <c r="M132" s="7"/>
      <c r="N132" s="45"/>
      <c r="S132" s="2"/>
    </row>
  </sheetData>
  <autoFilter ref="A4:S107" xr:uid="{6643C2E6-903E-450E-A16B-39C950B372EB}"/>
  <mergeCells count="3">
    <mergeCell ref="A1:D1"/>
    <mergeCell ref="A3:D3"/>
    <mergeCell ref="A5:C5"/>
  </mergeCells>
  <pageMargins left="0.25" right="0.25" top="1" bottom="0.75" header="0.3" footer="0.3"/>
  <pageSetup scale="48" fitToHeight="0" orientation="landscape" r:id="rId1"/>
  <headerFooter>
    <oddFooter>&amp;C&amp;Z&amp;F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CC80-A92A-44F4-AB9A-358D536EA663}">
  <sheetPr>
    <tabColor theme="3" tint="0.59999389629810485"/>
    <pageSetUpPr fitToPage="1"/>
  </sheetPr>
  <dimension ref="A1:S55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H29" sqref="H29"/>
    </sheetView>
  </sheetViews>
  <sheetFormatPr defaultRowHeight="14.4" x14ac:dyDescent="0.3"/>
  <cols>
    <col min="1" max="1" width="41.44140625" bestFit="1" customWidth="1"/>
    <col min="2" max="2" width="14" customWidth="1"/>
    <col min="3" max="3" width="8" style="2" customWidth="1"/>
    <col min="4" max="4" width="32" customWidth="1"/>
    <col min="5" max="5" width="13.33203125" style="2" bestFit="1" customWidth="1"/>
    <col min="6" max="6" width="10" style="2" customWidth="1"/>
    <col min="7" max="7" width="20.44140625" style="8" bestFit="1" customWidth="1"/>
    <col min="8" max="8" width="12.33203125" style="9" customWidth="1"/>
    <col min="9" max="9" width="12.5546875" style="9" bestFit="1" customWidth="1"/>
    <col min="10" max="10" width="16.33203125" bestFit="1" customWidth="1"/>
    <col min="11" max="11" width="12" style="2" hidden="1" customWidth="1"/>
    <col min="12" max="12" width="14" style="2" customWidth="1"/>
    <col min="13" max="13" width="14.6640625" customWidth="1"/>
    <col min="16" max="17" width="33.5546875" customWidth="1"/>
    <col min="18" max="18" width="15.5546875" customWidth="1"/>
  </cols>
  <sheetData>
    <row r="1" spans="1:19" x14ac:dyDescent="0.3">
      <c r="A1" s="189" t="s">
        <v>5</v>
      </c>
      <c r="B1" s="189"/>
      <c r="C1" s="189"/>
      <c r="D1" s="189"/>
    </row>
    <row r="2" spans="1:19" x14ac:dyDescent="0.3">
      <c r="A2" s="3"/>
      <c r="B2" s="3"/>
      <c r="C2" s="3"/>
      <c r="D2" s="3"/>
      <c r="M2" s="3" t="s">
        <v>155</v>
      </c>
    </row>
    <row r="3" spans="1:19" x14ac:dyDescent="0.3">
      <c r="A3" s="188" t="s">
        <v>4</v>
      </c>
      <c r="B3" s="188"/>
      <c r="C3" s="188"/>
      <c r="D3" s="188"/>
      <c r="M3" s="3" t="s">
        <v>156</v>
      </c>
      <c r="P3" s="35"/>
      <c r="Q3" s="35"/>
      <c r="R3" s="147" t="s">
        <v>735</v>
      </c>
    </row>
    <row r="4" spans="1:19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  <c r="P4" s="147" t="s">
        <v>694</v>
      </c>
      <c r="Q4" s="147" t="s">
        <v>733</v>
      </c>
      <c r="R4" s="147" t="s">
        <v>736</v>
      </c>
    </row>
    <row r="5" spans="1:19" x14ac:dyDescent="0.3">
      <c r="A5" s="186" t="s">
        <v>778</v>
      </c>
      <c r="B5" s="186"/>
      <c r="C5" s="186"/>
      <c r="D5" s="4"/>
      <c r="E5" s="5"/>
      <c r="F5" s="5"/>
      <c r="G5" s="10"/>
      <c r="H5" s="11"/>
      <c r="I5" s="11"/>
      <c r="J5" s="10"/>
      <c r="K5" s="5"/>
      <c r="L5" s="5"/>
      <c r="M5" s="5"/>
      <c r="P5" s="147"/>
      <c r="Q5" s="147"/>
      <c r="R5" s="147"/>
    </row>
    <row r="6" spans="1:19" x14ac:dyDescent="0.3">
      <c r="A6" s="6" t="s">
        <v>924</v>
      </c>
      <c r="B6" s="6" t="s">
        <v>195</v>
      </c>
      <c r="C6" s="43">
        <v>24</v>
      </c>
      <c r="D6" s="6" t="s">
        <v>926</v>
      </c>
      <c r="E6" s="7" t="s">
        <v>1234</v>
      </c>
      <c r="F6" s="7" t="s">
        <v>52</v>
      </c>
      <c r="G6" s="12" t="s">
        <v>169</v>
      </c>
      <c r="H6" s="13"/>
      <c r="I6" s="44">
        <v>471.9</v>
      </c>
      <c r="J6" s="12" t="s">
        <v>932</v>
      </c>
      <c r="K6" s="7"/>
      <c r="L6" s="7" t="s">
        <v>168</v>
      </c>
      <c r="M6" s="7" t="s">
        <v>362</v>
      </c>
      <c r="N6" s="164">
        <v>44216</v>
      </c>
    </row>
    <row r="7" spans="1:19" x14ac:dyDescent="0.3">
      <c r="A7" s="6"/>
      <c r="B7" s="6"/>
      <c r="C7" s="43"/>
      <c r="D7" s="6"/>
      <c r="E7" s="7"/>
      <c r="F7" s="7"/>
      <c r="G7" s="12"/>
      <c r="H7" s="13"/>
      <c r="I7" s="44"/>
      <c r="J7" s="12"/>
      <c r="K7" s="15"/>
      <c r="L7" s="7"/>
      <c r="M7" s="7"/>
      <c r="N7" s="50"/>
    </row>
    <row r="8" spans="1:19" x14ac:dyDescent="0.3">
      <c r="A8" s="6" t="s">
        <v>937</v>
      </c>
      <c r="B8" s="6" t="s">
        <v>574</v>
      </c>
      <c r="C8" s="43" t="s">
        <v>52</v>
      </c>
      <c r="D8" s="6" t="s">
        <v>938</v>
      </c>
      <c r="E8" s="7" t="s">
        <v>936</v>
      </c>
      <c r="F8" s="7"/>
      <c r="G8" s="12" t="s">
        <v>214</v>
      </c>
      <c r="H8" s="13"/>
      <c r="I8" s="44">
        <v>1950.23</v>
      </c>
      <c r="J8" s="12" t="s">
        <v>322</v>
      </c>
      <c r="K8" s="15"/>
      <c r="L8" s="7">
        <v>241137</v>
      </c>
      <c r="M8" s="7" t="s">
        <v>362</v>
      </c>
      <c r="N8" s="50">
        <v>44225</v>
      </c>
    </row>
    <row r="9" spans="1:19" x14ac:dyDescent="0.3">
      <c r="A9" s="6" t="s">
        <v>928</v>
      </c>
      <c r="B9" s="6" t="s">
        <v>574</v>
      </c>
      <c r="C9" s="48" t="s">
        <v>52</v>
      </c>
      <c r="D9" s="6" t="s">
        <v>929</v>
      </c>
      <c r="E9" s="7" t="s">
        <v>936</v>
      </c>
      <c r="F9" s="7" t="s">
        <v>52</v>
      </c>
      <c r="G9" s="12" t="s">
        <v>169</v>
      </c>
      <c r="H9" s="44"/>
      <c r="I9" s="44">
        <v>720.86</v>
      </c>
      <c r="J9" s="12" t="s">
        <v>322</v>
      </c>
      <c r="K9" s="7"/>
      <c r="L9" s="7" t="s">
        <v>168</v>
      </c>
      <c r="M9" s="7" t="s">
        <v>362</v>
      </c>
      <c r="N9" s="50">
        <v>44199</v>
      </c>
    </row>
    <row r="10" spans="1:19" x14ac:dyDescent="0.3">
      <c r="A10" s="6" t="s">
        <v>945</v>
      </c>
      <c r="B10" s="6" t="s">
        <v>574</v>
      </c>
      <c r="C10" s="43" t="s">
        <v>52</v>
      </c>
      <c r="D10" s="6" t="s">
        <v>948</v>
      </c>
      <c r="E10" s="7" t="s">
        <v>936</v>
      </c>
      <c r="F10" s="7"/>
      <c r="G10" s="12" t="s">
        <v>214</v>
      </c>
      <c r="H10" s="13"/>
      <c r="I10" s="13">
        <v>134.29</v>
      </c>
      <c r="J10" s="12" t="s">
        <v>565</v>
      </c>
      <c r="K10" s="15"/>
      <c r="L10" s="7">
        <v>241328</v>
      </c>
      <c r="M10" s="7" t="s">
        <v>362</v>
      </c>
      <c r="N10" s="45"/>
    </row>
    <row r="11" spans="1:19" x14ac:dyDescent="0.3">
      <c r="A11" s="6" t="s">
        <v>945</v>
      </c>
      <c r="B11" s="6" t="s">
        <v>574</v>
      </c>
      <c r="C11" s="43" t="s">
        <v>52</v>
      </c>
      <c r="D11" s="6" t="s">
        <v>947</v>
      </c>
      <c r="E11" s="7" t="s">
        <v>936</v>
      </c>
      <c r="F11" s="7"/>
      <c r="G11" s="12" t="s">
        <v>214</v>
      </c>
      <c r="H11" s="13"/>
      <c r="I11" s="13">
        <v>379.89</v>
      </c>
      <c r="J11" s="12" t="s">
        <v>565</v>
      </c>
      <c r="K11" s="7"/>
      <c r="L11" s="7">
        <v>241328</v>
      </c>
      <c r="M11" s="7" t="s">
        <v>362</v>
      </c>
      <c r="N11" s="45"/>
    </row>
    <row r="12" spans="1:19" x14ac:dyDescent="0.3">
      <c r="A12" s="6" t="s">
        <v>945</v>
      </c>
      <c r="B12" s="6" t="s">
        <v>574</v>
      </c>
      <c r="C12" s="43" t="s">
        <v>52</v>
      </c>
      <c r="D12" s="6" t="s">
        <v>946</v>
      </c>
      <c r="E12" s="7" t="s">
        <v>936</v>
      </c>
      <c r="F12" s="7"/>
      <c r="G12" s="12" t="s">
        <v>214</v>
      </c>
      <c r="H12" s="13"/>
      <c r="I12" s="44">
        <v>199.99</v>
      </c>
      <c r="J12" s="12" t="s">
        <v>565</v>
      </c>
      <c r="K12" s="15"/>
      <c r="L12" s="7">
        <v>241328</v>
      </c>
      <c r="M12" s="7" t="s">
        <v>362</v>
      </c>
      <c r="N12" s="50"/>
    </row>
    <row r="13" spans="1:19" ht="28.8" x14ac:dyDescent="0.3">
      <c r="A13" s="6" t="s">
        <v>999</v>
      </c>
      <c r="B13" s="6" t="s">
        <v>574</v>
      </c>
      <c r="C13" s="43">
        <v>4</v>
      </c>
      <c r="D13" s="168" t="s">
        <v>998</v>
      </c>
      <c r="E13" s="7" t="s">
        <v>936</v>
      </c>
      <c r="F13" s="7"/>
      <c r="G13" s="12" t="s">
        <v>169</v>
      </c>
      <c r="H13" s="13"/>
      <c r="I13" s="44">
        <v>216.98</v>
      </c>
      <c r="J13" s="12" t="s">
        <v>322</v>
      </c>
      <c r="K13" s="7"/>
      <c r="L13" s="7" t="s">
        <v>168</v>
      </c>
      <c r="M13" s="7" t="s">
        <v>362</v>
      </c>
      <c r="N13" s="169">
        <v>44201</v>
      </c>
    </row>
    <row r="14" spans="1:19" x14ac:dyDescent="0.3">
      <c r="A14" s="6" t="s">
        <v>1000</v>
      </c>
      <c r="B14" s="6" t="s">
        <v>574</v>
      </c>
      <c r="C14" s="43"/>
      <c r="D14" s="6" t="s">
        <v>1001</v>
      </c>
      <c r="E14" s="7" t="s">
        <v>936</v>
      </c>
      <c r="F14" s="7"/>
      <c r="G14" s="12" t="s">
        <v>262</v>
      </c>
      <c r="H14" s="13"/>
      <c r="I14" s="44">
        <v>217.08</v>
      </c>
      <c r="J14" s="12" t="s">
        <v>322</v>
      </c>
      <c r="K14" s="7"/>
      <c r="L14" s="7" t="s">
        <v>168</v>
      </c>
      <c r="M14" s="7" t="s">
        <v>362</v>
      </c>
      <c r="N14" s="170">
        <v>44220</v>
      </c>
      <c r="S14" s="2"/>
    </row>
    <row r="15" spans="1:19" x14ac:dyDescent="0.3">
      <c r="A15" s="6" t="s">
        <v>923</v>
      </c>
      <c r="B15" s="6" t="s">
        <v>574</v>
      </c>
      <c r="C15" s="43" t="s">
        <v>52</v>
      </c>
      <c r="D15" s="6" t="s">
        <v>925</v>
      </c>
      <c r="E15" s="7" t="s">
        <v>936</v>
      </c>
      <c r="F15" s="7" t="s">
        <v>52</v>
      </c>
      <c r="G15" s="12" t="s">
        <v>262</v>
      </c>
      <c r="H15" s="13"/>
      <c r="I15" s="44">
        <v>1936.77</v>
      </c>
      <c r="J15" s="12" t="s">
        <v>322</v>
      </c>
      <c r="K15" s="7"/>
      <c r="L15" s="7" t="s">
        <v>168</v>
      </c>
      <c r="M15" s="7" t="s">
        <v>362</v>
      </c>
      <c r="N15" s="169">
        <v>44205</v>
      </c>
    </row>
    <row r="16" spans="1:19" x14ac:dyDescent="0.3">
      <c r="A16" s="6" t="s">
        <v>908</v>
      </c>
      <c r="B16" s="6" t="s">
        <v>574</v>
      </c>
      <c r="C16" s="43">
        <v>4</v>
      </c>
      <c r="D16" s="6" t="s">
        <v>909</v>
      </c>
      <c r="E16" s="7" t="s">
        <v>936</v>
      </c>
      <c r="F16" s="7" t="s">
        <v>52</v>
      </c>
      <c r="G16" s="12" t="s">
        <v>262</v>
      </c>
      <c r="H16" s="13"/>
      <c r="I16" s="44">
        <v>43.96</v>
      </c>
      <c r="J16" s="12" t="s">
        <v>322</v>
      </c>
      <c r="K16" s="7"/>
      <c r="L16" s="7" t="s">
        <v>168</v>
      </c>
      <c r="M16" s="7" t="s">
        <v>362</v>
      </c>
      <c r="N16" s="170">
        <v>44199</v>
      </c>
      <c r="S16" s="2"/>
    </row>
    <row r="17" spans="1:19" x14ac:dyDescent="0.3">
      <c r="A17" s="6" t="s">
        <v>891</v>
      </c>
      <c r="B17" s="6" t="s">
        <v>574</v>
      </c>
      <c r="C17" s="43">
        <v>3</v>
      </c>
      <c r="D17" s="6" t="s">
        <v>892</v>
      </c>
      <c r="E17" s="7" t="s">
        <v>936</v>
      </c>
      <c r="F17" s="7">
        <v>22100247</v>
      </c>
      <c r="G17" s="12" t="s">
        <v>890</v>
      </c>
      <c r="H17" s="13">
        <f>10659-10659</f>
        <v>0</v>
      </c>
      <c r="I17" s="44">
        <v>10659</v>
      </c>
      <c r="J17" s="12" t="s">
        <v>322</v>
      </c>
      <c r="K17" s="7"/>
      <c r="L17" s="7">
        <v>241805</v>
      </c>
      <c r="M17" s="7" t="s">
        <v>362</v>
      </c>
      <c r="N17" s="45"/>
    </row>
    <row r="18" spans="1:19" x14ac:dyDescent="0.3">
      <c r="A18" s="6" t="s">
        <v>1057</v>
      </c>
      <c r="B18" s="6" t="s">
        <v>574</v>
      </c>
      <c r="C18" s="43">
        <v>2</v>
      </c>
      <c r="D18" s="6" t="s">
        <v>1058</v>
      </c>
      <c r="E18" s="7" t="s">
        <v>936</v>
      </c>
      <c r="F18" s="7" t="s">
        <v>52</v>
      </c>
      <c r="G18" s="12" t="s">
        <v>1059</v>
      </c>
      <c r="H18" s="13"/>
      <c r="I18" s="44">
        <v>979.87</v>
      </c>
      <c r="J18" s="12" t="s">
        <v>322</v>
      </c>
      <c r="K18" s="7"/>
      <c r="L18" s="7" t="s">
        <v>168</v>
      </c>
      <c r="M18" s="7" t="s">
        <v>362</v>
      </c>
      <c r="N18" s="45">
        <v>44232</v>
      </c>
      <c r="S18" s="2"/>
    </row>
    <row r="19" spans="1:19" x14ac:dyDescent="0.3">
      <c r="A19" s="6" t="s">
        <v>1061</v>
      </c>
      <c r="B19" s="6" t="s">
        <v>574</v>
      </c>
      <c r="C19" s="43">
        <v>3</v>
      </c>
      <c r="D19" s="6" t="s">
        <v>1062</v>
      </c>
      <c r="E19" s="7" t="s">
        <v>936</v>
      </c>
      <c r="F19" s="7" t="s">
        <v>52</v>
      </c>
      <c r="G19" s="12" t="s">
        <v>1060</v>
      </c>
      <c r="H19" s="13"/>
      <c r="I19" s="44">
        <v>572.36</v>
      </c>
      <c r="J19" s="12" t="s">
        <v>322</v>
      </c>
      <c r="K19" s="7"/>
      <c r="L19" s="7" t="s">
        <v>168</v>
      </c>
      <c r="M19" s="7" t="s">
        <v>450</v>
      </c>
      <c r="N19" s="45">
        <v>44232</v>
      </c>
      <c r="S19" s="2"/>
    </row>
    <row r="20" spans="1:19" x14ac:dyDescent="0.3">
      <c r="A20" s="6" t="s">
        <v>1071</v>
      </c>
      <c r="B20" s="6" t="s">
        <v>574</v>
      </c>
      <c r="C20" s="43">
        <v>2</v>
      </c>
      <c r="D20" s="6" t="s">
        <v>1063</v>
      </c>
      <c r="E20" s="7" t="s">
        <v>936</v>
      </c>
      <c r="F20" s="7" t="s">
        <v>52</v>
      </c>
      <c r="G20" s="12" t="s">
        <v>262</v>
      </c>
      <c r="H20" s="13"/>
      <c r="I20" s="44">
        <v>638</v>
      </c>
      <c r="J20" s="12" t="s">
        <v>322</v>
      </c>
      <c r="K20" s="7"/>
      <c r="L20" s="7" t="s">
        <v>168</v>
      </c>
      <c r="M20" s="7" t="s">
        <v>362</v>
      </c>
      <c r="N20" s="45">
        <v>44232</v>
      </c>
      <c r="S20" s="2"/>
    </row>
    <row r="21" spans="1:19" x14ac:dyDescent="0.3">
      <c r="A21" s="6" t="s">
        <v>1100</v>
      </c>
      <c r="B21" s="6" t="s">
        <v>574</v>
      </c>
      <c r="C21" s="43">
        <v>1</v>
      </c>
      <c r="D21" s="6" t="s">
        <v>1099</v>
      </c>
      <c r="E21" s="7" t="s">
        <v>936</v>
      </c>
      <c r="F21" s="7" t="s">
        <v>52</v>
      </c>
      <c r="G21" s="12" t="s">
        <v>169</v>
      </c>
      <c r="H21" s="13"/>
      <c r="I21" s="44">
        <v>1117.55</v>
      </c>
      <c r="J21" s="12" t="s">
        <v>55</v>
      </c>
      <c r="K21" s="7"/>
      <c r="L21" s="7" t="s">
        <v>168</v>
      </c>
      <c r="M21" s="7" t="s">
        <v>362</v>
      </c>
      <c r="N21" s="45">
        <v>44235</v>
      </c>
      <c r="S21" s="2"/>
    </row>
    <row r="22" spans="1:19" x14ac:dyDescent="0.3">
      <c r="A22" s="6" t="s">
        <v>1141</v>
      </c>
      <c r="B22" s="6" t="s">
        <v>574</v>
      </c>
      <c r="C22" s="43">
        <v>1</v>
      </c>
      <c r="D22" s="6" t="s">
        <v>1142</v>
      </c>
      <c r="E22" s="7" t="s">
        <v>936</v>
      </c>
      <c r="F22" s="7" t="s">
        <v>52</v>
      </c>
      <c r="G22" s="12" t="s">
        <v>1140</v>
      </c>
      <c r="H22" s="13"/>
      <c r="I22" s="44">
        <v>1412.73</v>
      </c>
      <c r="J22" s="12"/>
      <c r="K22" s="7"/>
      <c r="L22" s="7" t="s">
        <v>168</v>
      </c>
      <c r="M22" s="7"/>
      <c r="N22" s="45">
        <v>44295</v>
      </c>
      <c r="S22" s="2"/>
    </row>
    <row r="23" spans="1:19" x14ac:dyDescent="0.3">
      <c r="A23" s="6"/>
      <c r="B23" s="6"/>
      <c r="C23" s="43"/>
      <c r="D23" s="6"/>
      <c r="E23" s="7"/>
      <c r="F23" s="7"/>
      <c r="G23" s="12"/>
      <c r="H23" s="13"/>
      <c r="I23" s="13"/>
      <c r="J23" s="12"/>
      <c r="K23" s="15"/>
      <c r="L23" s="7"/>
      <c r="M23" s="7"/>
      <c r="N23" s="45"/>
      <c r="S23" s="2"/>
    </row>
    <row r="24" spans="1:19" x14ac:dyDescent="0.3">
      <c r="A24" s="6" t="s">
        <v>1150</v>
      </c>
      <c r="B24" s="6" t="s">
        <v>161</v>
      </c>
      <c r="C24" s="43">
        <v>12</v>
      </c>
      <c r="D24" s="6" t="s">
        <v>1149</v>
      </c>
      <c r="E24" s="7" t="s">
        <v>1174</v>
      </c>
      <c r="F24" s="7" t="s">
        <v>52</v>
      </c>
      <c r="G24" s="12" t="s">
        <v>1151</v>
      </c>
      <c r="H24" s="13"/>
      <c r="I24" s="44">
        <v>816.14</v>
      </c>
      <c r="J24" s="12" t="s">
        <v>1152</v>
      </c>
      <c r="K24" s="7"/>
      <c r="L24" s="7" t="s">
        <v>168</v>
      </c>
      <c r="M24" s="7" t="s">
        <v>362</v>
      </c>
      <c r="N24" s="45"/>
      <c r="S24" s="2"/>
    </row>
    <row r="25" spans="1:19" x14ac:dyDescent="0.3">
      <c r="A25" s="6"/>
      <c r="B25" s="6"/>
      <c r="C25" s="43"/>
      <c r="D25" s="6"/>
      <c r="E25" s="7"/>
      <c r="F25" s="7"/>
      <c r="G25" s="12"/>
      <c r="H25" s="13"/>
      <c r="I25" s="13"/>
      <c r="J25" s="12"/>
      <c r="K25" s="15"/>
      <c r="L25" s="7"/>
      <c r="M25" s="7"/>
      <c r="N25" s="45"/>
      <c r="S25" s="2"/>
    </row>
    <row r="26" spans="1:19" x14ac:dyDescent="0.3">
      <c r="A26" s="6"/>
      <c r="B26" s="6"/>
      <c r="C26" s="43"/>
      <c r="D26" s="6"/>
      <c r="E26" s="7"/>
      <c r="F26" s="7"/>
      <c r="G26" s="12"/>
      <c r="H26" s="13"/>
      <c r="I26" s="13"/>
      <c r="J26" s="12"/>
      <c r="K26" s="15"/>
      <c r="L26" s="7"/>
      <c r="M26" s="7"/>
      <c r="N26" s="45"/>
    </row>
    <row r="27" spans="1:19" x14ac:dyDescent="0.3">
      <c r="A27" s="6"/>
      <c r="B27" s="6"/>
      <c r="C27" s="43"/>
      <c r="D27" s="6"/>
      <c r="E27" s="7"/>
      <c r="F27" s="7"/>
      <c r="G27" s="12"/>
      <c r="H27" s="13"/>
      <c r="I27" s="13"/>
      <c r="J27" s="12"/>
      <c r="K27" s="7"/>
      <c r="L27" s="7"/>
      <c r="M27" s="7"/>
    </row>
    <row r="28" spans="1:19" x14ac:dyDescent="0.3">
      <c r="H28" s="9">
        <f>SUM(H6:H27)</f>
        <v>0</v>
      </c>
      <c r="I28" s="9">
        <f>SUM(I6:I27)</f>
        <v>22467.599999999999</v>
      </c>
      <c r="L28" s="128" t="s">
        <v>548</v>
      </c>
      <c r="M28" s="129"/>
    </row>
    <row r="29" spans="1:19" x14ac:dyDescent="0.3">
      <c r="G29" s="47" t="s">
        <v>28</v>
      </c>
      <c r="H29" s="9">
        <v>0</v>
      </c>
      <c r="I29" s="9">
        <v>22467.599999999999</v>
      </c>
    </row>
    <row r="30" spans="1:19" x14ac:dyDescent="0.3">
      <c r="G30" s="47" t="s">
        <v>303</v>
      </c>
      <c r="H30" s="9">
        <f>H29-H28</f>
        <v>0</v>
      </c>
      <c r="I30" s="9">
        <f>I29-I28</f>
        <v>0</v>
      </c>
    </row>
    <row r="32" spans="1:19" x14ac:dyDescent="0.3">
      <c r="G32" s="8" t="s">
        <v>13</v>
      </c>
      <c r="H32" s="9">
        <f>SUMIF($B$6:$B27,"Fire Dept Adm",$H$6:$H27)</f>
        <v>0</v>
      </c>
      <c r="I32" s="9">
        <f>SUMIF($B$6:$B27,"Fire Dept Adm",$I$6:$I27)</f>
        <v>0</v>
      </c>
    </row>
    <row r="33" spans="7:9" x14ac:dyDescent="0.3">
      <c r="G33" s="8" t="s">
        <v>574</v>
      </c>
      <c r="H33" s="9">
        <f>SUMIF($B$6:$B$27,"OEM",$H$6:$H$27)</f>
        <v>0</v>
      </c>
      <c r="I33" s="9">
        <f>SUMIF($B$6:$B$27,"OEM",$I$6:$I$27)</f>
        <v>21179.559999999998</v>
      </c>
    </row>
    <row r="34" spans="7:9" x14ac:dyDescent="0.3">
      <c r="G34" s="8" t="s">
        <v>46</v>
      </c>
      <c r="H34" s="9">
        <f>SUMIF($B$6:$B$27,"Police",$H$6:$H$27)</f>
        <v>0</v>
      </c>
      <c r="I34" s="9">
        <f>SUMIF($B$6:$B$27,"Police",$I$6:$I$27)</f>
        <v>0</v>
      </c>
    </row>
    <row r="35" spans="7:9" x14ac:dyDescent="0.3">
      <c r="G35" s="8" t="s">
        <v>195</v>
      </c>
      <c r="H35" s="9">
        <f>SUMIF($B$6:$B$27,"Public Works",$H$6:$H$27)</f>
        <v>0</v>
      </c>
      <c r="I35" s="9">
        <f>SUMIF($B$6:$B$27,"Public Works",$I$6:$I$27)</f>
        <v>471.9</v>
      </c>
    </row>
    <row r="36" spans="7:9" x14ac:dyDescent="0.3">
      <c r="G36" s="8" t="s">
        <v>280</v>
      </c>
      <c r="H36" s="9">
        <f>SUMIF($B$6:$B$27,"Commun Dev",$H$6:$H$27)</f>
        <v>0</v>
      </c>
      <c r="I36" s="9">
        <f>SUMIF($B$6:$B$27,"Commun Dev",$I$6:$I$27)</f>
        <v>0</v>
      </c>
    </row>
    <row r="37" spans="7:9" x14ac:dyDescent="0.3">
      <c r="G37" s="8" t="s">
        <v>161</v>
      </c>
      <c r="H37" s="9">
        <f>SUMIF($B$6:$B$27,"Parks &amp; Rec",$H$6:$H$27)</f>
        <v>0</v>
      </c>
      <c r="I37" s="9">
        <f>SUMIF($B$6:$B$27,"Parks &amp; Rec",$I$6:$I$27)</f>
        <v>816.14</v>
      </c>
    </row>
    <row r="38" spans="7:9" x14ac:dyDescent="0.3">
      <c r="G38" s="8" t="s">
        <v>293</v>
      </c>
      <c r="H38" s="9">
        <f>SUMIF($B$6:$B$27,"Library",$H$6:$H$27)</f>
        <v>0</v>
      </c>
      <c r="I38" s="9">
        <f>SUMIF($B$6:$B$27,"Library",$I$6:$I$27)</f>
        <v>0</v>
      </c>
    </row>
    <row r="39" spans="7:9" x14ac:dyDescent="0.3">
      <c r="G39" s="8" t="s">
        <v>377</v>
      </c>
      <c r="H39" s="9">
        <f>SUMIF($B$6:$B$27,"Neighb Life",$H$6:$H$27)</f>
        <v>0</v>
      </c>
      <c r="I39" s="9">
        <f>SUMIF($B$6:$B$27,"Neighb Life",$I$6:$I$27)</f>
        <v>0</v>
      </c>
    </row>
    <row r="40" spans="7:9" x14ac:dyDescent="0.3">
      <c r="G40" s="8" t="s">
        <v>310</v>
      </c>
      <c r="H40" s="9">
        <f>SUMIF($B$6:$B$27,"CM Office",$H$6:$H$27)</f>
        <v>0</v>
      </c>
      <c r="I40" s="9">
        <f>SUMIF($B$6:$B$27,"CM Office",$I$6:$I$27)</f>
        <v>0</v>
      </c>
    </row>
    <row r="41" spans="7:9" x14ac:dyDescent="0.3">
      <c r="G41" s="8" t="s">
        <v>305</v>
      </c>
      <c r="H41" s="9">
        <f>SUMIF($B$6:$B$27,"Public Info",$H$6:$H$27)</f>
        <v>0</v>
      </c>
      <c r="I41" s="9">
        <f>SUMIF($B$6:$B$27,"Public Info",$I$6:$I$27)</f>
        <v>0</v>
      </c>
    </row>
    <row r="42" spans="7:9" x14ac:dyDescent="0.3">
      <c r="G42" s="8" t="s">
        <v>212</v>
      </c>
      <c r="H42" s="9">
        <f>SUMIF($B$6:$B$27,"Court",$H$6:$H$27)</f>
        <v>0</v>
      </c>
      <c r="I42" s="9">
        <f>SUMIF($B$6:$B$27,"Court",$I$6:$I$27)</f>
        <v>0</v>
      </c>
    </row>
    <row r="43" spans="7:9" x14ac:dyDescent="0.3">
      <c r="G43" s="8" t="s">
        <v>379</v>
      </c>
      <c r="H43" s="9">
        <f>SUMIF($B$6:$B$27,"IT",$H$6:$H$27)</f>
        <v>0</v>
      </c>
      <c r="I43" s="9">
        <f>SUMIF($B$6:$B$27,"IT",$I$6:$I$27)</f>
        <v>0</v>
      </c>
    </row>
    <row r="44" spans="7:9" x14ac:dyDescent="0.3">
      <c r="G44" s="8" t="s">
        <v>647</v>
      </c>
      <c r="H44" s="9">
        <f>SUMIF($B$6:$B$27,"Econ Dev",$H$6:$H$27)</f>
        <v>0</v>
      </c>
      <c r="I44" s="9">
        <f>SUMIF($B$6:$B$27,"Econ Dev",$I$6:$I$27)</f>
        <v>0</v>
      </c>
    </row>
    <row r="45" spans="7:9" x14ac:dyDescent="0.3">
      <c r="G45" s="56" t="s">
        <v>397</v>
      </c>
      <c r="H45" s="9">
        <f>SUMIF($B$6:$B$27,"Unknown at this time",$H$6:$H$27)</f>
        <v>0</v>
      </c>
      <c r="I45" s="9">
        <f>SUMIF($B$6:$B$27,"Unknown at this time",$I$6:$I$27)</f>
        <v>0</v>
      </c>
    </row>
    <row r="46" spans="7:9" x14ac:dyDescent="0.3">
      <c r="G46" s="8" t="s">
        <v>378</v>
      </c>
      <c r="H46" s="9">
        <f>SUMIF($B$6:$B$27,"City-Wide",$H$6:$H$27)</f>
        <v>0</v>
      </c>
      <c r="I46" s="9">
        <f>SUMIF($B$6:$B$27,"City-Wide",$I$6:$I$27)</f>
        <v>0</v>
      </c>
    </row>
    <row r="47" spans="7:9" x14ac:dyDescent="0.3">
      <c r="G47" s="8" t="s">
        <v>753</v>
      </c>
      <c r="H47" s="9">
        <f>SUMIF($B$6:$B$27,"Grant Rcls",$H$6:$H$27)</f>
        <v>0</v>
      </c>
      <c r="I47" s="9">
        <f>SUMIF($B$6:$B$27,"Grant Rcls",$I$6:$I$27)</f>
        <v>0</v>
      </c>
    </row>
    <row r="48" spans="7:9" x14ac:dyDescent="0.3">
      <c r="H48" s="51">
        <f>SUM(H32:H47)</f>
        <v>0</v>
      </c>
      <c r="I48" s="51">
        <f>SUM(I32:I47)</f>
        <v>22467.599999999999</v>
      </c>
    </row>
    <row r="49" spans="1:19" x14ac:dyDescent="0.3">
      <c r="H49" s="20">
        <f>H29-H48</f>
        <v>0</v>
      </c>
      <c r="I49" s="20">
        <f>I29-I48</f>
        <v>0</v>
      </c>
    </row>
    <row r="50" spans="1:19" x14ac:dyDescent="0.3">
      <c r="H50" s="20"/>
      <c r="I50" s="20"/>
    </row>
    <row r="51" spans="1:19" ht="9.75" customHeight="1" x14ac:dyDescent="0.3">
      <c r="A51" s="52"/>
      <c r="B51" s="52"/>
      <c r="C51" s="53"/>
      <c r="D51" s="52"/>
      <c r="E51" s="53"/>
      <c r="F51" s="53"/>
      <c r="G51" s="54"/>
      <c r="H51" s="55"/>
      <c r="I51" s="55"/>
      <c r="J51" s="52"/>
      <c r="K51" s="53"/>
      <c r="L51" s="53"/>
      <c r="M51" s="52"/>
      <c r="N51" s="52"/>
    </row>
    <row r="52" spans="1:19" ht="13.5" customHeight="1" x14ac:dyDescent="0.3">
      <c r="A52" s="57" t="s">
        <v>190</v>
      </c>
    </row>
    <row r="53" spans="1:19" x14ac:dyDescent="0.3">
      <c r="A53" s="6"/>
      <c r="B53" s="6"/>
      <c r="C53" s="43"/>
      <c r="D53" s="6"/>
      <c r="E53" s="7" t="s">
        <v>931</v>
      </c>
      <c r="F53" s="7" t="s">
        <v>52</v>
      </c>
      <c r="G53" s="12"/>
      <c r="H53" s="13"/>
      <c r="I53" s="44"/>
      <c r="J53" s="12"/>
      <c r="K53" s="7"/>
      <c r="L53" s="7" t="s">
        <v>168</v>
      </c>
      <c r="M53" s="7"/>
      <c r="N53" s="45"/>
      <c r="S53" s="2"/>
    </row>
    <row r="54" spans="1:19" x14ac:dyDescent="0.3">
      <c r="A54" s="6"/>
      <c r="B54" s="6" t="s">
        <v>574</v>
      </c>
      <c r="C54" s="43"/>
      <c r="D54" s="6"/>
      <c r="E54" s="7" t="s">
        <v>931</v>
      </c>
      <c r="F54" s="7" t="s">
        <v>52</v>
      </c>
      <c r="G54" s="12"/>
      <c r="H54" s="13"/>
      <c r="I54" s="44"/>
      <c r="J54" s="12"/>
      <c r="K54" s="7"/>
      <c r="L54" s="7" t="s">
        <v>168</v>
      </c>
      <c r="M54" s="7"/>
      <c r="N54" s="45"/>
      <c r="S54" s="2"/>
    </row>
    <row r="55" spans="1:19" x14ac:dyDescent="0.3">
      <c r="C55" s="177"/>
      <c r="H55" s="178"/>
      <c r="I55" s="179"/>
      <c r="J55" s="8"/>
      <c r="M55" s="2"/>
      <c r="N55" s="45"/>
      <c r="S55" s="2"/>
    </row>
  </sheetData>
  <autoFilter ref="A4:S30" xr:uid="{6643C2E6-903E-450E-A16B-39C950B372EB}"/>
  <mergeCells count="3">
    <mergeCell ref="A1:D1"/>
    <mergeCell ref="A3:D3"/>
    <mergeCell ref="A5:C5"/>
  </mergeCells>
  <pageMargins left="0.25" right="0.25" top="1" bottom="0.75" header="0.3" footer="0.3"/>
  <pageSetup scale="51" fitToHeight="0" orientation="landscape" r:id="rId1"/>
  <headerFooter>
    <oddFooter>&amp;C&amp;Z&amp;F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72496-EE63-4205-85AB-B9D785B49179}">
  <sheetPr>
    <tabColor theme="3" tint="0.59999389629810485"/>
    <pageSetUpPr fitToPage="1"/>
  </sheetPr>
  <dimension ref="A1:S132"/>
  <sheetViews>
    <sheetView zoomScaleNormal="100" workbookViewId="0">
      <pane xSplit="1" ySplit="4" topLeftCell="B98" activePane="bottomRight" state="frozen"/>
      <selection pane="topRight" activeCell="B1" sqref="B1"/>
      <selection pane="bottomLeft" activeCell="A5" sqref="A5"/>
      <selection pane="bottomRight" activeCell="H75" sqref="H75"/>
    </sheetView>
  </sheetViews>
  <sheetFormatPr defaultRowHeight="14.4" x14ac:dyDescent="0.3"/>
  <cols>
    <col min="1" max="1" width="49.6640625" customWidth="1"/>
    <col min="2" max="2" width="14" customWidth="1"/>
    <col min="3" max="3" width="8" style="2" customWidth="1"/>
    <col min="4" max="4" width="32.6640625" customWidth="1"/>
    <col min="5" max="5" width="13.33203125" style="2" bestFit="1" customWidth="1"/>
    <col min="6" max="6" width="10" style="2" customWidth="1"/>
    <col min="7" max="7" width="20.44140625" style="8" bestFit="1" customWidth="1"/>
    <col min="8" max="8" width="12.33203125" style="9" customWidth="1"/>
    <col min="9" max="9" width="12.5546875" style="9" bestFit="1" customWidth="1"/>
    <col min="10" max="10" width="16.33203125" bestFit="1" customWidth="1"/>
    <col min="11" max="11" width="12" style="2" hidden="1" customWidth="1"/>
    <col min="12" max="12" width="14" style="2" customWidth="1"/>
    <col min="13" max="13" width="14.6640625" customWidth="1"/>
    <col min="16" max="17" width="33.5546875" customWidth="1"/>
    <col min="18" max="18" width="15.5546875" customWidth="1"/>
  </cols>
  <sheetData>
    <row r="1" spans="1:19" x14ac:dyDescent="0.3">
      <c r="A1" s="189" t="s">
        <v>5</v>
      </c>
      <c r="B1" s="189"/>
      <c r="C1" s="189"/>
      <c r="D1" s="189"/>
    </row>
    <row r="2" spans="1:19" x14ac:dyDescent="0.3">
      <c r="A2" s="3"/>
      <c r="B2" s="3"/>
      <c r="C2" s="3"/>
      <c r="D2" s="3"/>
      <c r="M2" s="3" t="s">
        <v>155</v>
      </c>
    </row>
    <row r="3" spans="1:19" x14ac:dyDescent="0.3">
      <c r="A3" s="188" t="s">
        <v>4</v>
      </c>
      <c r="B3" s="188"/>
      <c r="C3" s="188"/>
      <c r="D3" s="188"/>
      <c r="M3" s="3" t="s">
        <v>156</v>
      </c>
      <c r="P3" s="35"/>
      <c r="Q3" s="35"/>
      <c r="R3" s="147" t="s">
        <v>735</v>
      </c>
    </row>
    <row r="4" spans="1:19" x14ac:dyDescent="0.3">
      <c r="A4" s="4" t="s">
        <v>0</v>
      </c>
      <c r="B4" s="4" t="s">
        <v>1</v>
      </c>
      <c r="C4" s="5" t="s">
        <v>2</v>
      </c>
      <c r="D4" s="4" t="s">
        <v>3</v>
      </c>
      <c r="E4" s="5" t="s">
        <v>10</v>
      </c>
      <c r="F4" s="5" t="s">
        <v>6</v>
      </c>
      <c r="G4" s="10" t="s">
        <v>7</v>
      </c>
      <c r="H4" s="11" t="s">
        <v>8</v>
      </c>
      <c r="I4" s="11" t="s">
        <v>9</v>
      </c>
      <c r="J4" s="10" t="s">
        <v>14</v>
      </c>
      <c r="K4" s="5" t="s">
        <v>152</v>
      </c>
      <c r="L4" s="5" t="s">
        <v>151</v>
      </c>
      <c r="M4" s="5" t="s">
        <v>157</v>
      </c>
      <c r="P4" s="147" t="s">
        <v>694</v>
      </c>
      <c r="Q4" s="147" t="s">
        <v>733</v>
      </c>
      <c r="R4" s="147" t="s">
        <v>736</v>
      </c>
    </row>
    <row r="5" spans="1:19" x14ac:dyDescent="0.3">
      <c r="A5" s="186" t="s">
        <v>778</v>
      </c>
      <c r="B5" s="186"/>
      <c r="C5" s="186"/>
      <c r="D5" s="4"/>
      <c r="E5" s="5"/>
      <c r="F5" s="5"/>
      <c r="G5" s="10"/>
      <c r="H5" s="11"/>
      <c r="I5" s="11"/>
      <c r="J5" s="10"/>
      <c r="K5" s="5"/>
      <c r="L5" s="5"/>
      <c r="M5" s="5"/>
      <c r="P5" s="147"/>
      <c r="Q5" s="147"/>
      <c r="R5" s="147"/>
    </row>
    <row r="6" spans="1:19" x14ac:dyDescent="0.3">
      <c r="A6" s="6"/>
      <c r="B6" s="6"/>
      <c r="C6" s="43"/>
      <c r="D6" s="6"/>
      <c r="E6" s="7"/>
      <c r="F6" s="7"/>
      <c r="G6" s="12"/>
      <c r="H6" s="13"/>
      <c r="I6" s="44"/>
      <c r="J6" s="12"/>
      <c r="K6" s="15"/>
      <c r="L6" s="7"/>
      <c r="M6" s="7"/>
      <c r="N6" s="50"/>
    </row>
    <row r="7" spans="1:19" x14ac:dyDescent="0.3">
      <c r="A7" s="6" t="s">
        <v>1085</v>
      </c>
      <c r="B7" s="6" t="s">
        <v>1084</v>
      </c>
      <c r="C7" s="43"/>
      <c r="D7" s="6" t="s">
        <v>1086</v>
      </c>
      <c r="E7" s="7" t="s">
        <v>1083</v>
      </c>
      <c r="F7" s="7" t="s">
        <v>52</v>
      </c>
      <c r="G7" s="12" t="s">
        <v>187</v>
      </c>
      <c r="H7" s="13"/>
      <c r="I7" s="44">
        <v>202.14</v>
      </c>
      <c r="J7" s="12" t="s">
        <v>1082</v>
      </c>
      <c r="K7" s="7"/>
      <c r="L7" s="7" t="s">
        <v>168</v>
      </c>
      <c r="M7" s="7" t="s">
        <v>362</v>
      </c>
      <c r="N7" s="45">
        <v>44245</v>
      </c>
      <c r="S7" s="2"/>
    </row>
    <row r="8" spans="1:19" x14ac:dyDescent="0.3">
      <c r="A8" s="6" t="s">
        <v>1092</v>
      </c>
      <c r="B8" s="6" t="s">
        <v>293</v>
      </c>
      <c r="C8" s="43">
        <v>7</v>
      </c>
      <c r="D8" s="6" t="s">
        <v>1093</v>
      </c>
      <c r="E8" s="7" t="s">
        <v>1083</v>
      </c>
      <c r="F8" s="7" t="s">
        <v>52</v>
      </c>
      <c r="G8" s="12" t="s">
        <v>1039</v>
      </c>
      <c r="H8" s="13"/>
      <c r="I8" s="44">
        <v>384.86</v>
      </c>
      <c r="J8" s="12" t="s">
        <v>915</v>
      </c>
      <c r="K8" s="7"/>
      <c r="L8" s="7" t="s">
        <v>168</v>
      </c>
      <c r="M8" s="7" t="s">
        <v>362</v>
      </c>
      <c r="N8" s="45">
        <v>44243</v>
      </c>
      <c r="S8" s="2"/>
    </row>
    <row r="9" spans="1:19" x14ac:dyDescent="0.3">
      <c r="A9" s="6" t="s">
        <v>1095</v>
      </c>
      <c r="B9" s="6" t="s">
        <v>379</v>
      </c>
      <c r="C9" s="43"/>
      <c r="D9" s="6" t="s">
        <v>1096</v>
      </c>
      <c r="E9" s="7" t="s">
        <v>1083</v>
      </c>
      <c r="F9" s="7" t="s">
        <v>52</v>
      </c>
      <c r="G9" s="12" t="s">
        <v>169</v>
      </c>
      <c r="H9" s="13"/>
      <c r="I9" s="44">
        <v>31.24</v>
      </c>
      <c r="J9" s="12" t="s">
        <v>1094</v>
      </c>
      <c r="K9" s="7"/>
      <c r="L9" s="7" t="s">
        <v>168</v>
      </c>
      <c r="M9" s="7" t="s">
        <v>362</v>
      </c>
      <c r="N9" s="45">
        <v>44256</v>
      </c>
      <c r="S9" s="2"/>
    </row>
    <row r="10" spans="1:19" x14ac:dyDescent="0.3">
      <c r="A10" s="6" t="s">
        <v>1095</v>
      </c>
      <c r="B10" s="6" t="s">
        <v>379</v>
      </c>
      <c r="C10" s="43"/>
      <c r="D10" s="6" t="s">
        <v>1176</v>
      </c>
      <c r="E10" s="7" t="s">
        <v>1083</v>
      </c>
      <c r="F10" s="7" t="s">
        <v>52</v>
      </c>
      <c r="G10" s="12" t="s">
        <v>169</v>
      </c>
      <c r="H10" s="13"/>
      <c r="I10" s="44">
        <v>72.83</v>
      </c>
      <c r="J10" s="12" t="s">
        <v>1175</v>
      </c>
      <c r="K10" s="7"/>
      <c r="L10" s="7" t="s">
        <v>168</v>
      </c>
      <c r="M10" s="7" t="s">
        <v>362</v>
      </c>
      <c r="N10" s="45">
        <v>44284</v>
      </c>
      <c r="S10" s="2"/>
    </row>
    <row r="11" spans="1:19" x14ac:dyDescent="0.3">
      <c r="A11" s="6"/>
      <c r="B11" s="6"/>
      <c r="C11" s="43"/>
      <c r="D11" s="6"/>
      <c r="E11" s="7"/>
      <c r="F11" s="7"/>
      <c r="G11" s="12"/>
      <c r="H11" s="13"/>
      <c r="I11" s="44"/>
      <c r="J11" s="12"/>
      <c r="K11" s="15"/>
      <c r="L11" s="7"/>
      <c r="M11" s="7"/>
      <c r="N11" s="50"/>
    </row>
    <row r="12" spans="1:19" x14ac:dyDescent="0.3">
      <c r="A12" s="6" t="s">
        <v>1138</v>
      </c>
      <c r="B12" s="6" t="s">
        <v>161</v>
      </c>
      <c r="C12" s="43">
        <v>1</v>
      </c>
      <c r="D12" s="6" t="s">
        <v>1139</v>
      </c>
      <c r="E12" s="7" t="s">
        <v>1136</v>
      </c>
      <c r="F12" s="7" t="s">
        <v>52</v>
      </c>
      <c r="G12" s="12" t="s">
        <v>262</v>
      </c>
      <c r="H12" s="13"/>
      <c r="I12" s="44">
        <v>307.05</v>
      </c>
      <c r="J12" s="12" t="s">
        <v>1137</v>
      </c>
      <c r="K12" s="7"/>
      <c r="L12" s="7" t="s">
        <v>168</v>
      </c>
      <c r="M12" s="7" t="s">
        <v>362</v>
      </c>
      <c r="N12" s="45">
        <v>44260</v>
      </c>
      <c r="S12" s="2"/>
    </row>
    <row r="13" spans="1:19" x14ac:dyDescent="0.3">
      <c r="A13" s="6"/>
      <c r="B13" s="6"/>
      <c r="C13" s="43"/>
      <c r="D13" s="6"/>
      <c r="E13" s="7"/>
      <c r="F13" s="7"/>
      <c r="G13" s="12"/>
      <c r="H13" s="13"/>
      <c r="I13" s="44"/>
      <c r="J13" s="12"/>
      <c r="K13" s="7"/>
      <c r="L13" s="7"/>
      <c r="M13" s="7"/>
      <c r="N13" s="45"/>
      <c r="S13" s="2"/>
    </row>
    <row r="14" spans="1:19" x14ac:dyDescent="0.3">
      <c r="A14" s="6" t="s">
        <v>1034</v>
      </c>
      <c r="B14" s="6" t="s">
        <v>46</v>
      </c>
      <c r="C14" s="43">
        <v>20</v>
      </c>
      <c r="D14" s="6" t="s">
        <v>1023</v>
      </c>
      <c r="E14" s="7" t="s">
        <v>1022</v>
      </c>
      <c r="F14" s="7" t="s">
        <v>52</v>
      </c>
      <c r="G14" s="12" t="s">
        <v>1024</v>
      </c>
      <c r="H14" s="13"/>
      <c r="I14" s="44">
        <v>146.33000000000001</v>
      </c>
      <c r="J14" s="12" t="s">
        <v>1025</v>
      </c>
      <c r="K14" s="7"/>
      <c r="L14" s="7" t="s">
        <v>168</v>
      </c>
      <c r="M14" s="7" t="s">
        <v>362</v>
      </c>
      <c r="N14" s="164"/>
    </row>
    <row r="15" spans="1:19" x14ac:dyDescent="0.3">
      <c r="A15" s="6" t="s">
        <v>1034</v>
      </c>
      <c r="B15" s="6" t="s">
        <v>46</v>
      </c>
      <c r="C15" s="43">
        <v>20</v>
      </c>
      <c r="D15" s="6" t="s">
        <v>1027</v>
      </c>
      <c r="E15" s="7" t="s">
        <v>1022</v>
      </c>
      <c r="F15" s="7" t="s">
        <v>52</v>
      </c>
      <c r="G15" s="12" t="s">
        <v>1026</v>
      </c>
      <c r="H15" s="13"/>
      <c r="I15" s="44">
        <v>134.81</v>
      </c>
      <c r="J15" s="12" t="s">
        <v>1025</v>
      </c>
      <c r="K15" s="7"/>
      <c r="L15" s="7" t="s">
        <v>168</v>
      </c>
      <c r="M15" s="7" t="s">
        <v>362</v>
      </c>
      <c r="N15" s="164"/>
    </row>
    <row r="16" spans="1:19" x14ac:dyDescent="0.3">
      <c r="A16" s="6" t="s">
        <v>1034</v>
      </c>
      <c r="B16" s="6" t="s">
        <v>46</v>
      </c>
      <c r="C16" s="43">
        <v>20</v>
      </c>
      <c r="D16" s="6" t="s">
        <v>1028</v>
      </c>
      <c r="E16" s="7" t="s">
        <v>1022</v>
      </c>
      <c r="F16" s="7" t="s">
        <v>52</v>
      </c>
      <c r="G16" s="12" t="s">
        <v>1029</v>
      </c>
      <c r="H16" s="13"/>
      <c r="I16" s="44">
        <v>183.81</v>
      </c>
      <c r="J16" s="12" t="s">
        <v>1025</v>
      </c>
      <c r="K16" s="7"/>
      <c r="L16" s="7" t="s">
        <v>168</v>
      </c>
      <c r="M16" s="7" t="s">
        <v>362</v>
      </c>
      <c r="N16" s="45"/>
      <c r="S16" s="2"/>
    </row>
    <row r="17" spans="1:19" x14ac:dyDescent="0.3">
      <c r="A17" s="6" t="s">
        <v>1034</v>
      </c>
      <c r="B17" s="6" t="s">
        <v>46</v>
      </c>
      <c r="C17" s="43"/>
      <c r="D17" s="6" t="s">
        <v>1030</v>
      </c>
      <c r="E17" s="7" t="s">
        <v>1022</v>
      </c>
      <c r="F17" s="7" t="s">
        <v>52</v>
      </c>
      <c r="G17" s="12" t="s">
        <v>1031</v>
      </c>
      <c r="H17" s="13"/>
      <c r="I17" s="44">
        <v>203</v>
      </c>
      <c r="J17" s="12" t="s">
        <v>1032</v>
      </c>
      <c r="K17" s="7"/>
      <c r="L17" s="7" t="s">
        <v>168</v>
      </c>
      <c r="M17" s="7" t="s">
        <v>362</v>
      </c>
      <c r="N17" s="45"/>
      <c r="S17" s="2"/>
    </row>
    <row r="18" spans="1:19" x14ac:dyDescent="0.3">
      <c r="A18" s="6" t="s">
        <v>1035</v>
      </c>
      <c r="B18" s="6" t="s">
        <v>46</v>
      </c>
      <c r="C18" s="43"/>
      <c r="D18" s="6" t="s">
        <v>1036</v>
      </c>
      <c r="E18" s="7" t="s">
        <v>1022</v>
      </c>
      <c r="F18" s="7" t="s">
        <v>52</v>
      </c>
      <c r="G18" s="12" t="s">
        <v>187</v>
      </c>
      <c r="H18" s="13"/>
      <c r="I18" s="44">
        <v>66.13</v>
      </c>
      <c r="J18" s="12" t="s">
        <v>1033</v>
      </c>
      <c r="K18" s="7"/>
      <c r="L18" s="7" t="s">
        <v>168</v>
      </c>
      <c r="M18" s="7" t="s">
        <v>362</v>
      </c>
      <c r="N18" s="45"/>
      <c r="S18" s="2"/>
    </row>
    <row r="19" spans="1:19" x14ac:dyDescent="0.3">
      <c r="A19" s="6" t="s">
        <v>1034</v>
      </c>
      <c r="B19" s="6" t="s">
        <v>46</v>
      </c>
      <c r="C19" s="43">
        <v>18</v>
      </c>
      <c r="D19" s="6" t="s">
        <v>1037</v>
      </c>
      <c r="E19" s="7" t="s">
        <v>1022</v>
      </c>
      <c r="F19" s="7" t="s">
        <v>52</v>
      </c>
      <c r="G19" s="12" t="s">
        <v>1029</v>
      </c>
      <c r="H19" s="13"/>
      <c r="I19" s="44">
        <v>152.82</v>
      </c>
      <c r="J19" s="12" t="s">
        <v>1025</v>
      </c>
      <c r="K19" s="7"/>
      <c r="L19" s="7" t="s">
        <v>168</v>
      </c>
      <c r="M19" s="7" t="s">
        <v>362</v>
      </c>
      <c r="N19" s="45"/>
      <c r="S19" s="2"/>
    </row>
    <row r="20" spans="1:19" x14ac:dyDescent="0.3">
      <c r="A20" s="6" t="s">
        <v>1034</v>
      </c>
      <c r="B20" s="6" t="s">
        <v>46</v>
      </c>
      <c r="C20" s="43">
        <v>2</v>
      </c>
      <c r="D20" s="6" t="s">
        <v>1037</v>
      </c>
      <c r="E20" s="7" t="s">
        <v>1022</v>
      </c>
      <c r="F20" s="7" t="s">
        <v>52</v>
      </c>
      <c r="G20" s="12" t="s">
        <v>1029</v>
      </c>
      <c r="H20" s="13"/>
      <c r="I20" s="44">
        <v>16.98</v>
      </c>
      <c r="J20" s="12" t="s">
        <v>1025</v>
      </c>
      <c r="K20" s="7"/>
      <c r="L20" s="7" t="s">
        <v>168</v>
      </c>
      <c r="M20" s="7" t="s">
        <v>362</v>
      </c>
      <c r="N20" s="45"/>
      <c r="S20" s="2"/>
    </row>
    <row r="21" spans="1:19" x14ac:dyDescent="0.3">
      <c r="A21" s="6"/>
      <c r="B21" s="6"/>
      <c r="C21" s="43"/>
      <c r="D21" s="6"/>
      <c r="E21" s="7"/>
      <c r="F21" s="7"/>
      <c r="G21" s="12"/>
      <c r="H21" s="13"/>
      <c r="I21" s="44"/>
      <c r="J21" s="12"/>
      <c r="K21" s="7"/>
      <c r="L21" s="7"/>
      <c r="M21" s="7"/>
      <c r="N21" s="45"/>
      <c r="S21" s="2"/>
    </row>
    <row r="22" spans="1:19" x14ac:dyDescent="0.3">
      <c r="A22" s="6" t="s">
        <v>1184</v>
      </c>
      <c r="B22" s="6" t="s">
        <v>195</v>
      </c>
      <c r="C22" s="43"/>
      <c r="D22" s="6" t="s">
        <v>1185</v>
      </c>
      <c r="E22" s="7" t="s">
        <v>1186</v>
      </c>
      <c r="F22" s="7" t="s">
        <v>52</v>
      </c>
      <c r="G22" s="12" t="s">
        <v>1074</v>
      </c>
      <c r="H22" s="13"/>
      <c r="I22" s="44">
        <v>1775.5</v>
      </c>
      <c r="J22" s="12" t="s">
        <v>182</v>
      </c>
      <c r="K22" s="7"/>
      <c r="L22" s="7">
        <v>242727</v>
      </c>
      <c r="M22" s="7" t="s">
        <v>362</v>
      </c>
      <c r="N22" s="45"/>
      <c r="S22" s="2"/>
    </row>
    <row r="23" spans="1:19" x14ac:dyDescent="0.3">
      <c r="A23" s="6"/>
      <c r="B23" s="6"/>
      <c r="C23" s="43"/>
      <c r="D23" s="6"/>
      <c r="E23" s="7"/>
      <c r="F23" s="7"/>
      <c r="G23" s="12"/>
      <c r="H23" s="13"/>
      <c r="I23" s="44"/>
      <c r="J23" s="12"/>
      <c r="K23" s="7"/>
      <c r="L23" s="7"/>
      <c r="M23" s="7"/>
      <c r="N23" s="45"/>
      <c r="S23" s="2"/>
    </row>
    <row r="24" spans="1:19" x14ac:dyDescent="0.3">
      <c r="A24" s="6" t="s">
        <v>1162</v>
      </c>
      <c r="B24" s="6" t="s">
        <v>13</v>
      </c>
      <c r="C24" s="43">
        <v>20</v>
      </c>
      <c r="D24" s="6" t="s">
        <v>1163</v>
      </c>
      <c r="E24" s="7" t="s">
        <v>1159</v>
      </c>
      <c r="F24" s="7" t="s">
        <v>52</v>
      </c>
      <c r="G24" s="12" t="s">
        <v>1161</v>
      </c>
      <c r="H24" s="13"/>
      <c r="I24" s="44">
        <v>540.79</v>
      </c>
      <c r="J24" s="12" t="s">
        <v>520</v>
      </c>
      <c r="K24" s="7"/>
      <c r="L24" s="7">
        <v>241742</v>
      </c>
      <c r="M24" s="7" t="s">
        <v>362</v>
      </c>
      <c r="N24" s="45" t="s">
        <v>1160</v>
      </c>
      <c r="S24" s="2"/>
    </row>
    <row r="25" spans="1:19" x14ac:dyDescent="0.3">
      <c r="A25" s="6"/>
      <c r="B25" s="6"/>
      <c r="C25" s="43"/>
      <c r="D25" s="6"/>
      <c r="E25" s="7"/>
      <c r="F25" s="7"/>
      <c r="G25" s="12"/>
      <c r="H25" s="13"/>
      <c r="I25" s="44"/>
      <c r="J25" s="12"/>
      <c r="K25" s="7"/>
      <c r="L25" s="7"/>
      <c r="M25" s="7"/>
      <c r="N25" s="45"/>
      <c r="S25" s="2"/>
    </row>
    <row r="26" spans="1:19" x14ac:dyDescent="0.3">
      <c r="A26" s="6" t="s">
        <v>1004</v>
      </c>
      <c r="B26" s="6" t="s">
        <v>574</v>
      </c>
      <c r="C26" s="43"/>
      <c r="D26" s="6"/>
      <c r="E26" s="7" t="s">
        <v>1002</v>
      </c>
      <c r="F26" s="7" t="s">
        <v>52</v>
      </c>
      <c r="G26" s="12" t="s">
        <v>1003</v>
      </c>
      <c r="H26" s="13"/>
      <c r="I26" s="44">
        <v>358.29</v>
      </c>
      <c r="J26" s="12" t="s">
        <v>322</v>
      </c>
      <c r="K26" s="15"/>
      <c r="L26" s="7">
        <v>241717</v>
      </c>
      <c r="M26" s="7" t="s">
        <v>362</v>
      </c>
      <c r="N26" s="50"/>
    </row>
    <row r="27" spans="1:19" x14ac:dyDescent="0.3">
      <c r="A27" s="6" t="s">
        <v>1055</v>
      </c>
      <c r="B27" s="6" t="s">
        <v>574</v>
      </c>
      <c r="C27" s="43"/>
      <c r="D27" s="6" t="s">
        <v>1054</v>
      </c>
      <c r="E27" s="7" t="s">
        <v>1002</v>
      </c>
      <c r="F27" s="7" t="s">
        <v>52</v>
      </c>
      <c r="G27" s="12" t="s">
        <v>169</v>
      </c>
      <c r="H27" s="13"/>
      <c r="I27" s="44">
        <v>194.62</v>
      </c>
      <c r="J27" s="12" t="s">
        <v>322</v>
      </c>
      <c r="K27" s="7"/>
      <c r="L27" s="7" t="s">
        <v>168</v>
      </c>
      <c r="M27" s="7" t="s">
        <v>362</v>
      </c>
      <c r="N27" s="45"/>
      <c r="S27" s="2"/>
    </row>
    <row r="28" spans="1:19" x14ac:dyDescent="0.3">
      <c r="A28" s="6" t="s">
        <v>1064</v>
      </c>
      <c r="B28" s="6" t="s">
        <v>574</v>
      </c>
      <c r="C28" s="43">
        <v>14</v>
      </c>
      <c r="D28" s="6" t="s">
        <v>1065</v>
      </c>
      <c r="E28" s="7" t="s">
        <v>1002</v>
      </c>
      <c r="F28" s="7" t="s">
        <v>52</v>
      </c>
      <c r="G28" s="12" t="s">
        <v>169</v>
      </c>
      <c r="H28" s="13"/>
      <c r="I28" s="44">
        <v>632.55999999999995</v>
      </c>
      <c r="J28" s="12" t="s">
        <v>322</v>
      </c>
      <c r="K28" s="7"/>
      <c r="L28" s="7" t="s">
        <v>168</v>
      </c>
      <c r="M28" s="7" t="s">
        <v>362</v>
      </c>
      <c r="N28" s="45"/>
      <c r="S28" s="2"/>
    </row>
    <row r="29" spans="1:19" x14ac:dyDescent="0.3">
      <c r="A29" s="6" t="s">
        <v>1066</v>
      </c>
      <c r="B29" s="6" t="s">
        <v>574</v>
      </c>
      <c r="C29" s="43">
        <v>29</v>
      </c>
      <c r="D29" s="6" t="s">
        <v>1067</v>
      </c>
      <c r="E29" s="7" t="s">
        <v>1002</v>
      </c>
      <c r="F29" s="7" t="s">
        <v>52</v>
      </c>
      <c r="G29" s="12" t="s">
        <v>187</v>
      </c>
      <c r="H29" s="13"/>
      <c r="I29" s="44">
        <v>398.65</v>
      </c>
      <c r="J29" s="12" t="s">
        <v>322</v>
      </c>
      <c r="K29" s="7"/>
      <c r="L29" s="7" t="s">
        <v>168</v>
      </c>
      <c r="M29" s="7" t="s">
        <v>362</v>
      </c>
      <c r="N29" s="45"/>
      <c r="S29" s="2"/>
    </row>
    <row r="30" spans="1:19" x14ac:dyDescent="0.3">
      <c r="A30" s="6" t="s">
        <v>1049</v>
      </c>
      <c r="B30" s="6" t="s">
        <v>574</v>
      </c>
      <c r="C30" s="43">
        <v>154</v>
      </c>
      <c r="D30" s="6" t="s">
        <v>1050</v>
      </c>
      <c r="E30" s="7" t="s">
        <v>1002</v>
      </c>
      <c r="F30" s="7" t="s">
        <v>52</v>
      </c>
      <c r="G30" s="12" t="s">
        <v>1048</v>
      </c>
      <c r="H30" s="13"/>
      <c r="I30" s="44">
        <v>154</v>
      </c>
      <c r="J30" s="12" t="s">
        <v>183</v>
      </c>
      <c r="K30" s="7"/>
      <c r="L30" s="7" t="s">
        <v>168</v>
      </c>
      <c r="M30" s="7" t="s">
        <v>362</v>
      </c>
      <c r="N30" s="45"/>
      <c r="S30" s="2"/>
    </row>
    <row r="31" spans="1:19" x14ac:dyDescent="0.3">
      <c r="A31" s="6" t="s">
        <v>1051</v>
      </c>
      <c r="B31" s="6" t="s">
        <v>13</v>
      </c>
      <c r="C31" s="43">
        <v>9</v>
      </c>
      <c r="D31" s="6" t="s">
        <v>1052</v>
      </c>
      <c r="E31" s="7" t="s">
        <v>1002</v>
      </c>
      <c r="F31" s="7" t="s">
        <v>52</v>
      </c>
      <c r="G31" s="12" t="s">
        <v>169</v>
      </c>
      <c r="H31" s="13"/>
      <c r="I31" s="44">
        <v>471.59</v>
      </c>
      <c r="J31" s="12" t="s">
        <v>1053</v>
      </c>
      <c r="K31" s="7"/>
      <c r="L31" s="7" t="s">
        <v>168</v>
      </c>
      <c r="M31" s="7" t="s">
        <v>362</v>
      </c>
      <c r="N31" s="45"/>
      <c r="S31" s="2"/>
    </row>
    <row r="32" spans="1:19" x14ac:dyDescent="0.3">
      <c r="A32" s="6" t="s">
        <v>1102</v>
      </c>
      <c r="B32" s="6" t="s">
        <v>574</v>
      </c>
      <c r="C32" s="43"/>
      <c r="D32" s="6" t="s">
        <v>1103</v>
      </c>
      <c r="E32" s="7" t="s">
        <v>1002</v>
      </c>
      <c r="F32" s="7" t="s">
        <v>52</v>
      </c>
      <c r="G32" s="12" t="s">
        <v>1101</v>
      </c>
      <c r="H32" s="13"/>
      <c r="I32" s="44">
        <v>2146.85</v>
      </c>
      <c r="J32" s="12" t="s">
        <v>322</v>
      </c>
      <c r="K32" s="7"/>
      <c r="L32" s="7">
        <v>241959</v>
      </c>
      <c r="M32" s="7" t="s">
        <v>362</v>
      </c>
      <c r="N32" s="45"/>
      <c r="S32" s="2"/>
    </row>
    <row r="33" spans="1:19" x14ac:dyDescent="0.3">
      <c r="A33" s="6"/>
      <c r="B33" s="8"/>
      <c r="C33" s="43"/>
      <c r="D33" s="6"/>
      <c r="E33" s="7"/>
      <c r="F33" s="7"/>
      <c r="G33" s="12"/>
      <c r="H33" s="13"/>
      <c r="I33" s="44"/>
      <c r="J33" s="12"/>
      <c r="K33" s="15"/>
      <c r="L33" s="7"/>
      <c r="M33" s="7"/>
      <c r="N33" s="50"/>
    </row>
    <row r="34" spans="1:19" x14ac:dyDescent="0.3">
      <c r="A34" s="6" t="s">
        <v>1192</v>
      </c>
      <c r="B34" s="6" t="s">
        <v>195</v>
      </c>
      <c r="C34" s="43">
        <v>3</v>
      </c>
      <c r="D34" s="6" t="s">
        <v>1191</v>
      </c>
      <c r="E34" s="7" t="s">
        <v>1180</v>
      </c>
      <c r="F34" s="7"/>
      <c r="G34" s="12" t="s">
        <v>1200</v>
      </c>
      <c r="H34" s="13">
        <f>3100+2000-5100</f>
        <v>0</v>
      </c>
      <c r="I34" s="13">
        <v>5100</v>
      </c>
      <c r="J34" s="12" t="s">
        <v>182</v>
      </c>
      <c r="K34" s="15"/>
      <c r="L34" s="7">
        <v>242886</v>
      </c>
      <c r="M34" s="7" t="s">
        <v>362</v>
      </c>
      <c r="N34" s="50"/>
    </row>
    <row r="35" spans="1:19" x14ac:dyDescent="0.3">
      <c r="A35" s="6" t="s">
        <v>1183</v>
      </c>
      <c r="B35" s="6" t="s">
        <v>195</v>
      </c>
      <c r="C35" s="43"/>
      <c r="D35" s="6" t="s">
        <v>1182</v>
      </c>
      <c r="E35" s="7" t="s">
        <v>1180</v>
      </c>
      <c r="F35" s="7" t="s">
        <v>52</v>
      </c>
      <c r="G35" s="12" t="s">
        <v>1181</v>
      </c>
      <c r="H35" s="13"/>
      <c r="I35" s="44">
        <v>2200</v>
      </c>
      <c r="J35" s="12" t="s">
        <v>182</v>
      </c>
      <c r="K35" s="7"/>
      <c r="L35" s="7" t="s">
        <v>168</v>
      </c>
      <c r="M35" s="7" t="s">
        <v>362</v>
      </c>
      <c r="N35" s="45"/>
      <c r="S35" s="2"/>
    </row>
    <row r="36" spans="1:19" x14ac:dyDescent="0.3">
      <c r="A36" s="6" t="s">
        <v>1194</v>
      </c>
      <c r="B36" s="6" t="s">
        <v>195</v>
      </c>
      <c r="C36" s="43"/>
      <c r="D36" s="6" t="s">
        <v>1195</v>
      </c>
      <c r="E36" s="7" t="s">
        <v>1180</v>
      </c>
      <c r="F36" s="7" t="s">
        <v>52</v>
      </c>
      <c r="G36" s="12" t="s">
        <v>1181</v>
      </c>
      <c r="H36" s="13"/>
      <c r="I36" s="44">
        <v>1700</v>
      </c>
      <c r="J36" s="12" t="s">
        <v>182</v>
      </c>
      <c r="K36" s="7"/>
      <c r="L36" s="7" t="s">
        <v>168</v>
      </c>
      <c r="M36" s="7" t="s">
        <v>362</v>
      </c>
      <c r="N36" s="45"/>
      <c r="S36" s="2"/>
    </row>
    <row r="37" spans="1:19" x14ac:dyDescent="0.3">
      <c r="A37" s="6"/>
      <c r="B37" s="6"/>
      <c r="C37" s="43"/>
      <c r="D37" s="6"/>
      <c r="E37" s="7" t="s">
        <v>1180</v>
      </c>
      <c r="F37" s="7"/>
      <c r="G37" s="12"/>
      <c r="H37" s="13"/>
      <c r="I37" s="13"/>
      <c r="J37" s="12"/>
      <c r="K37" s="15"/>
      <c r="L37" s="7"/>
      <c r="M37" s="7"/>
      <c r="N37" s="50"/>
    </row>
    <row r="38" spans="1:19" x14ac:dyDescent="0.3">
      <c r="A38" s="6"/>
      <c r="B38" s="6"/>
      <c r="C38" s="43"/>
      <c r="D38" s="6"/>
      <c r="E38" s="7"/>
      <c r="F38" s="7"/>
      <c r="G38" s="12"/>
      <c r="H38" s="13"/>
      <c r="I38" s="13"/>
      <c r="J38" s="12"/>
      <c r="K38" s="15"/>
      <c r="L38" s="7"/>
      <c r="M38" s="7"/>
      <c r="N38" s="50"/>
    </row>
    <row r="39" spans="1:19" x14ac:dyDescent="0.3">
      <c r="A39" s="6" t="s">
        <v>984</v>
      </c>
      <c r="B39" s="6" t="s">
        <v>195</v>
      </c>
      <c r="C39" s="43">
        <v>3</v>
      </c>
      <c r="D39" s="6" t="s">
        <v>985</v>
      </c>
      <c r="E39" s="7" t="s">
        <v>982</v>
      </c>
      <c r="F39" s="7" t="s">
        <v>52</v>
      </c>
      <c r="G39" s="12" t="s">
        <v>983</v>
      </c>
      <c r="H39" s="13"/>
      <c r="I39" s="13">
        <v>433</v>
      </c>
      <c r="J39" s="12" t="s">
        <v>182</v>
      </c>
      <c r="K39" s="15"/>
      <c r="L39" s="7">
        <v>241560</v>
      </c>
      <c r="M39" s="7" t="s">
        <v>362</v>
      </c>
      <c r="N39" s="50"/>
    </row>
    <row r="40" spans="1:19" x14ac:dyDescent="0.3">
      <c r="A40" s="6" t="s">
        <v>987</v>
      </c>
      <c r="B40" s="6" t="s">
        <v>195</v>
      </c>
      <c r="C40" s="43">
        <v>1</v>
      </c>
      <c r="D40" s="6" t="s">
        <v>986</v>
      </c>
      <c r="E40" s="7" t="s">
        <v>982</v>
      </c>
      <c r="F40" s="7" t="s">
        <v>52</v>
      </c>
      <c r="G40" s="12" t="s">
        <v>983</v>
      </c>
      <c r="H40" s="13"/>
      <c r="I40" s="13">
        <v>171.5</v>
      </c>
      <c r="J40" s="12" t="s">
        <v>182</v>
      </c>
      <c r="K40" s="15"/>
      <c r="L40" s="7">
        <v>241561</v>
      </c>
      <c r="M40" s="7" t="s">
        <v>362</v>
      </c>
      <c r="N40" s="50"/>
    </row>
    <row r="41" spans="1:19" x14ac:dyDescent="0.3">
      <c r="A41" s="6" t="s">
        <v>988</v>
      </c>
      <c r="B41" s="6" t="s">
        <v>195</v>
      </c>
      <c r="C41" s="43"/>
      <c r="D41" s="6" t="s">
        <v>989</v>
      </c>
      <c r="E41" s="7" t="s">
        <v>982</v>
      </c>
      <c r="F41" s="7" t="s">
        <v>52</v>
      </c>
      <c r="G41" s="12" t="s">
        <v>983</v>
      </c>
      <c r="H41" s="13"/>
      <c r="I41" s="13">
        <v>150</v>
      </c>
      <c r="J41" s="12" t="s">
        <v>182</v>
      </c>
      <c r="K41" s="15"/>
      <c r="L41" s="7">
        <v>241675</v>
      </c>
      <c r="M41" s="7" t="s">
        <v>362</v>
      </c>
      <c r="N41" s="50"/>
    </row>
    <row r="42" spans="1:19" x14ac:dyDescent="0.3">
      <c r="A42" s="6" t="s">
        <v>991</v>
      </c>
      <c r="B42" s="6" t="s">
        <v>195</v>
      </c>
      <c r="C42" s="43">
        <v>1</v>
      </c>
      <c r="D42" s="6" t="s">
        <v>990</v>
      </c>
      <c r="E42" s="7" t="s">
        <v>982</v>
      </c>
      <c r="F42" s="7" t="s">
        <v>52</v>
      </c>
      <c r="G42" s="12" t="s">
        <v>983</v>
      </c>
      <c r="H42" s="13"/>
      <c r="I42" s="13">
        <v>246.25</v>
      </c>
      <c r="J42" s="12" t="s">
        <v>182</v>
      </c>
      <c r="K42" s="15"/>
      <c r="L42" s="7">
        <v>241561</v>
      </c>
      <c r="M42" s="7" t="s">
        <v>362</v>
      </c>
      <c r="N42" s="50"/>
    </row>
    <row r="43" spans="1:19" x14ac:dyDescent="0.3">
      <c r="A43" s="6" t="s">
        <v>992</v>
      </c>
      <c r="B43" s="6" t="s">
        <v>195</v>
      </c>
      <c r="C43" s="43">
        <v>2</v>
      </c>
      <c r="D43" s="6" t="s">
        <v>989</v>
      </c>
      <c r="E43" s="7" t="s">
        <v>982</v>
      </c>
      <c r="F43" s="7" t="s">
        <v>52</v>
      </c>
      <c r="G43" s="12" t="s">
        <v>983</v>
      </c>
      <c r="H43" s="13"/>
      <c r="I43" s="13">
        <v>383.25</v>
      </c>
      <c r="J43" s="12" t="s">
        <v>182</v>
      </c>
      <c r="K43" s="15"/>
      <c r="L43" s="7">
        <v>241561</v>
      </c>
      <c r="M43" s="7" t="s">
        <v>362</v>
      </c>
      <c r="N43" s="50"/>
    </row>
    <row r="44" spans="1:19" x14ac:dyDescent="0.3">
      <c r="A44" s="6" t="s">
        <v>993</v>
      </c>
      <c r="B44" s="6" t="s">
        <v>195</v>
      </c>
      <c r="C44" s="43">
        <v>1</v>
      </c>
      <c r="D44" s="6" t="s">
        <v>996</v>
      </c>
      <c r="E44" s="7" t="s">
        <v>982</v>
      </c>
      <c r="F44" s="7" t="s">
        <v>52</v>
      </c>
      <c r="G44" s="12" t="s">
        <v>983</v>
      </c>
      <c r="H44" s="13"/>
      <c r="I44" s="13">
        <v>524.25</v>
      </c>
      <c r="J44" s="12" t="s">
        <v>182</v>
      </c>
      <c r="K44" s="15"/>
      <c r="L44" s="7">
        <v>241561</v>
      </c>
      <c r="M44" s="7" t="s">
        <v>362</v>
      </c>
      <c r="N44" s="50"/>
    </row>
    <row r="45" spans="1:19" x14ac:dyDescent="0.3">
      <c r="A45" s="6" t="s">
        <v>994</v>
      </c>
      <c r="B45" s="6" t="s">
        <v>195</v>
      </c>
      <c r="C45" s="43">
        <v>1</v>
      </c>
      <c r="D45" s="6" t="s">
        <v>995</v>
      </c>
      <c r="E45" s="7" t="s">
        <v>982</v>
      </c>
      <c r="F45" s="7" t="s">
        <v>52</v>
      </c>
      <c r="G45" s="12" t="s">
        <v>983</v>
      </c>
      <c r="H45" s="13"/>
      <c r="I45" s="13">
        <v>167</v>
      </c>
      <c r="J45" s="12" t="s">
        <v>182</v>
      </c>
      <c r="K45" s="15"/>
      <c r="L45" s="7">
        <v>241561</v>
      </c>
      <c r="M45" s="7" t="s">
        <v>362</v>
      </c>
      <c r="N45" s="50"/>
    </row>
    <row r="46" spans="1:19" x14ac:dyDescent="0.3">
      <c r="A46" s="6" t="s">
        <v>1105</v>
      </c>
      <c r="B46" s="6" t="s">
        <v>161</v>
      </c>
      <c r="C46" s="43"/>
      <c r="D46" s="6" t="s">
        <v>1104</v>
      </c>
      <c r="E46" s="7" t="s">
        <v>982</v>
      </c>
      <c r="F46" s="7">
        <v>22100392</v>
      </c>
      <c r="G46" s="12" t="s">
        <v>983</v>
      </c>
      <c r="H46" s="13">
        <f>4074.84-4074.84</f>
        <v>0</v>
      </c>
      <c r="I46" s="13">
        <v>4074.84</v>
      </c>
      <c r="J46" s="12" t="s">
        <v>1040</v>
      </c>
      <c r="K46" s="15"/>
      <c r="L46" s="7">
        <v>242158</v>
      </c>
      <c r="M46" s="7" t="s">
        <v>362</v>
      </c>
      <c r="N46" s="50"/>
    </row>
    <row r="47" spans="1:19" x14ac:dyDescent="0.3">
      <c r="A47" s="6" t="s">
        <v>1106</v>
      </c>
      <c r="B47" s="6" t="s">
        <v>161</v>
      </c>
      <c r="C47" s="43"/>
      <c r="D47" s="6" t="s">
        <v>1104</v>
      </c>
      <c r="E47" s="7" t="s">
        <v>982</v>
      </c>
      <c r="F47" s="7">
        <v>22100392</v>
      </c>
      <c r="G47" s="12" t="s">
        <v>983</v>
      </c>
      <c r="H47" s="13">
        <f>1870-1870</f>
        <v>0</v>
      </c>
      <c r="I47" s="13">
        <v>1870</v>
      </c>
      <c r="J47" s="12" t="s">
        <v>1040</v>
      </c>
      <c r="K47" s="15"/>
      <c r="L47" s="7">
        <v>242158</v>
      </c>
      <c r="M47" s="7" t="s">
        <v>362</v>
      </c>
      <c r="N47" s="50"/>
    </row>
    <row r="48" spans="1:19" x14ac:dyDescent="0.3">
      <c r="A48" s="6" t="s">
        <v>1108</v>
      </c>
      <c r="B48" s="6" t="s">
        <v>161</v>
      </c>
      <c r="C48" s="43">
        <v>2</v>
      </c>
      <c r="D48" s="6" t="s">
        <v>1107</v>
      </c>
      <c r="E48" s="7" t="s">
        <v>982</v>
      </c>
      <c r="F48" s="7">
        <v>22100392</v>
      </c>
      <c r="G48" s="12" t="s">
        <v>983</v>
      </c>
      <c r="H48" s="13">
        <f>868.9-868.9</f>
        <v>0</v>
      </c>
      <c r="I48" s="13">
        <v>868.9</v>
      </c>
      <c r="J48" s="12" t="s">
        <v>1040</v>
      </c>
      <c r="K48" s="15"/>
      <c r="L48" s="7">
        <v>242158</v>
      </c>
      <c r="M48" s="7" t="s">
        <v>362</v>
      </c>
      <c r="N48" s="50"/>
    </row>
    <row r="49" spans="1:19" x14ac:dyDescent="0.3">
      <c r="A49" s="6" t="s">
        <v>1110</v>
      </c>
      <c r="B49" s="6" t="s">
        <v>161</v>
      </c>
      <c r="C49" s="43"/>
      <c r="D49" s="6" t="s">
        <v>1109</v>
      </c>
      <c r="E49" s="7" t="s">
        <v>982</v>
      </c>
      <c r="F49" s="7">
        <v>22100392</v>
      </c>
      <c r="G49" s="12" t="s">
        <v>983</v>
      </c>
      <c r="H49" s="13">
        <f>1952.59-1952.59</f>
        <v>0</v>
      </c>
      <c r="I49" s="13">
        <v>1952.59</v>
      </c>
      <c r="J49" s="12" t="s">
        <v>1040</v>
      </c>
      <c r="K49" s="15"/>
      <c r="L49" s="7">
        <v>242158</v>
      </c>
      <c r="M49" s="7" t="s">
        <v>362</v>
      </c>
      <c r="N49" s="50"/>
    </row>
    <row r="50" spans="1:19" x14ac:dyDescent="0.3">
      <c r="A50" s="6" t="s">
        <v>1209</v>
      </c>
      <c r="B50" s="6" t="s">
        <v>161</v>
      </c>
      <c r="C50" s="43"/>
      <c r="D50" s="6" t="s">
        <v>1104</v>
      </c>
      <c r="E50" s="7" t="s">
        <v>982</v>
      </c>
      <c r="F50" s="7">
        <v>22100392</v>
      </c>
      <c r="G50" s="12" t="s">
        <v>983</v>
      </c>
      <c r="H50" s="13"/>
      <c r="I50" s="13">
        <v>177</v>
      </c>
      <c r="J50" s="12" t="s">
        <v>1040</v>
      </c>
      <c r="K50" s="15"/>
      <c r="L50" s="7">
        <v>242891</v>
      </c>
      <c r="M50" s="7" t="s">
        <v>362</v>
      </c>
      <c r="N50" s="50"/>
    </row>
    <row r="51" spans="1:19" x14ac:dyDescent="0.3">
      <c r="A51" s="6"/>
      <c r="B51" s="6"/>
      <c r="C51" s="43"/>
      <c r="D51" s="6"/>
      <c r="E51" s="7"/>
      <c r="F51" s="7"/>
      <c r="G51" s="12"/>
      <c r="H51" s="13"/>
      <c r="I51" s="13"/>
      <c r="J51" s="12"/>
      <c r="K51" s="15"/>
      <c r="L51" s="7"/>
      <c r="M51" s="7"/>
      <c r="N51" s="50"/>
    </row>
    <row r="52" spans="1:19" x14ac:dyDescent="0.3">
      <c r="A52" s="6"/>
      <c r="B52" s="6"/>
      <c r="C52" s="43"/>
      <c r="D52" s="6"/>
      <c r="E52" s="7"/>
      <c r="F52" s="7"/>
      <c r="G52" s="12"/>
      <c r="H52" s="13"/>
      <c r="I52" s="13"/>
      <c r="J52" s="12"/>
      <c r="K52" s="15"/>
      <c r="L52" s="7"/>
      <c r="M52" s="7"/>
      <c r="N52" s="50"/>
    </row>
    <row r="53" spans="1:19" x14ac:dyDescent="0.3">
      <c r="A53" s="6" t="s">
        <v>958</v>
      </c>
      <c r="B53" s="6" t="s">
        <v>195</v>
      </c>
      <c r="C53" s="43" t="s">
        <v>52</v>
      </c>
      <c r="D53" s="6" t="s">
        <v>959</v>
      </c>
      <c r="E53" s="7" t="s">
        <v>949</v>
      </c>
      <c r="F53" s="7" t="s">
        <v>52</v>
      </c>
      <c r="G53" s="12" t="s">
        <v>950</v>
      </c>
      <c r="H53" s="13"/>
      <c r="I53" s="13">
        <v>220.5</v>
      </c>
      <c r="J53" s="12" t="s">
        <v>182</v>
      </c>
      <c r="K53" s="15"/>
      <c r="L53" s="7">
        <v>241510</v>
      </c>
      <c r="M53" s="7" t="s">
        <v>362</v>
      </c>
      <c r="N53" s="50"/>
    </row>
    <row r="54" spans="1:19" x14ac:dyDescent="0.3">
      <c r="A54" s="6" t="s">
        <v>951</v>
      </c>
      <c r="B54" s="6" t="s">
        <v>195</v>
      </c>
      <c r="C54" s="43" t="s">
        <v>52</v>
      </c>
      <c r="D54" s="6" t="s">
        <v>952</v>
      </c>
      <c r="E54" s="7" t="s">
        <v>949</v>
      </c>
      <c r="F54" s="7" t="s">
        <v>52</v>
      </c>
      <c r="G54" s="12" t="s">
        <v>950</v>
      </c>
      <c r="H54" s="13"/>
      <c r="I54" s="44">
        <v>1048.6400000000001</v>
      </c>
      <c r="J54" s="12" t="s">
        <v>182</v>
      </c>
      <c r="K54" s="15"/>
      <c r="L54" s="7">
        <v>241510</v>
      </c>
      <c r="M54" s="7" t="s">
        <v>362</v>
      </c>
      <c r="N54" s="50"/>
    </row>
    <row r="55" spans="1:19" x14ac:dyDescent="0.3">
      <c r="A55" s="6" t="s">
        <v>957</v>
      </c>
      <c r="B55" s="6" t="s">
        <v>195</v>
      </c>
      <c r="C55" s="48" t="s">
        <v>52</v>
      </c>
      <c r="D55" s="6" t="s">
        <v>953</v>
      </c>
      <c r="E55" s="7" t="s">
        <v>949</v>
      </c>
      <c r="F55" s="7" t="s">
        <v>52</v>
      </c>
      <c r="G55" s="12" t="s">
        <v>950</v>
      </c>
      <c r="H55" s="44"/>
      <c r="I55" s="44">
        <v>378.36</v>
      </c>
      <c r="J55" s="12" t="s">
        <v>182</v>
      </c>
      <c r="K55" s="7"/>
      <c r="L55" s="7">
        <v>241510</v>
      </c>
      <c r="M55" s="7" t="s">
        <v>362</v>
      </c>
      <c r="N55" s="50"/>
    </row>
    <row r="56" spans="1:19" x14ac:dyDescent="0.3">
      <c r="A56" s="6" t="s">
        <v>956</v>
      </c>
      <c r="B56" s="6" t="s">
        <v>195</v>
      </c>
      <c r="C56" s="48" t="s">
        <v>52</v>
      </c>
      <c r="D56" s="6" t="s">
        <v>953</v>
      </c>
      <c r="E56" s="7" t="s">
        <v>949</v>
      </c>
      <c r="F56" s="7" t="s">
        <v>52</v>
      </c>
      <c r="G56" s="12" t="s">
        <v>950</v>
      </c>
      <c r="H56" s="13"/>
      <c r="I56" s="44">
        <v>367.88</v>
      </c>
      <c r="J56" s="12" t="s">
        <v>182</v>
      </c>
      <c r="K56" s="15"/>
      <c r="L56" s="7">
        <v>241510</v>
      </c>
      <c r="M56" s="7" t="s">
        <v>362</v>
      </c>
      <c r="N56" s="45"/>
    </row>
    <row r="57" spans="1:19" x14ac:dyDescent="0.3">
      <c r="A57" s="6" t="s">
        <v>955</v>
      </c>
      <c r="B57" s="6" t="s">
        <v>195</v>
      </c>
      <c r="C57" s="48" t="s">
        <v>52</v>
      </c>
      <c r="D57" s="6" t="s">
        <v>953</v>
      </c>
      <c r="E57" s="7" t="s">
        <v>949</v>
      </c>
      <c r="F57" s="7" t="s">
        <v>52</v>
      </c>
      <c r="G57" s="12" t="s">
        <v>950</v>
      </c>
      <c r="H57" s="13"/>
      <c r="I57" s="13">
        <v>251.13</v>
      </c>
      <c r="J57" s="12" t="s">
        <v>182</v>
      </c>
      <c r="K57" s="7"/>
      <c r="L57" s="7">
        <v>241510</v>
      </c>
      <c r="M57" s="7" t="s">
        <v>362</v>
      </c>
      <c r="N57" s="45"/>
    </row>
    <row r="58" spans="1:19" x14ac:dyDescent="0.3">
      <c r="A58" s="6" t="s">
        <v>954</v>
      </c>
      <c r="B58" s="6" t="s">
        <v>195</v>
      </c>
      <c r="C58" s="48" t="s">
        <v>52</v>
      </c>
      <c r="D58" s="6" t="s">
        <v>953</v>
      </c>
      <c r="E58" s="7" t="s">
        <v>949</v>
      </c>
      <c r="F58" s="7" t="s">
        <v>52</v>
      </c>
      <c r="G58" s="12" t="s">
        <v>950</v>
      </c>
      <c r="H58" s="13"/>
      <c r="I58" s="13">
        <v>285.66000000000003</v>
      </c>
      <c r="J58" s="12" t="s">
        <v>182</v>
      </c>
      <c r="K58" s="15"/>
      <c r="L58" s="7">
        <v>241510</v>
      </c>
      <c r="M58" s="7" t="s">
        <v>362</v>
      </c>
      <c r="N58" s="45"/>
      <c r="S58" s="2"/>
    </row>
    <row r="59" spans="1:19" x14ac:dyDescent="0.3">
      <c r="A59" s="6" t="s">
        <v>960</v>
      </c>
      <c r="B59" s="6" t="s">
        <v>195</v>
      </c>
      <c r="C59" s="43" t="s">
        <v>52</v>
      </c>
      <c r="D59" s="6" t="s">
        <v>961</v>
      </c>
      <c r="E59" s="7" t="s">
        <v>949</v>
      </c>
      <c r="F59" s="7" t="s">
        <v>52</v>
      </c>
      <c r="G59" s="12" t="s">
        <v>950</v>
      </c>
      <c r="H59" s="13"/>
      <c r="I59" s="13">
        <v>147</v>
      </c>
      <c r="J59" s="12" t="s">
        <v>182</v>
      </c>
      <c r="K59" s="15"/>
      <c r="L59" s="7">
        <v>241510</v>
      </c>
      <c r="M59" s="7" t="s">
        <v>362</v>
      </c>
      <c r="N59" s="45"/>
      <c r="S59" s="2"/>
    </row>
    <row r="60" spans="1:19" x14ac:dyDescent="0.3">
      <c r="A60" s="6" t="s">
        <v>1087</v>
      </c>
      <c r="B60" s="6" t="s">
        <v>195</v>
      </c>
      <c r="C60" s="48" t="s">
        <v>52</v>
      </c>
      <c r="D60" s="6" t="s">
        <v>953</v>
      </c>
      <c r="E60" s="7" t="s">
        <v>949</v>
      </c>
      <c r="F60" s="7" t="s">
        <v>52</v>
      </c>
      <c r="G60" s="12" t="s">
        <v>950</v>
      </c>
      <c r="H60" s="44"/>
      <c r="I60" s="44">
        <v>378.94</v>
      </c>
      <c r="J60" s="12" t="s">
        <v>182</v>
      </c>
      <c r="K60" s="7"/>
      <c r="L60" s="7">
        <v>241928</v>
      </c>
      <c r="M60" s="7" t="s">
        <v>362</v>
      </c>
      <c r="N60" s="50"/>
    </row>
    <row r="61" spans="1:19" x14ac:dyDescent="0.3">
      <c r="A61" s="6" t="s">
        <v>1088</v>
      </c>
      <c r="B61" s="6" t="s">
        <v>195</v>
      </c>
      <c r="C61" s="48" t="s">
        <v>52</v>
      </c>
      <c r="D61" s="6" t="s">
        <v>953</v>
      </c>
      <c r="E61" s="7" t="s">
        <v>949</v>
      </c>
      <c r="F61" s="7" t="s">
        <v>52</v>
      </c>
      <c r="G61" s="12" t="s">
        <v>950</v>
      </c>
      <c r="H61" s="44"/>
      <c r="I61" s="44">
        <v>213.12</v>
      </c>
      <c r="J61" s="12" t="s">
        <v>182</v>
      </c>
      <c r="K61" s="7"/>
      <c r="L61" s="7">
        <v>241928</v>
      </c>
      <c r="M61" s="7" t="s">
        <v>362</v>
      </c>
      <c r="N61" s="50"/>
    </row>
    <row r="62" spans="1:19" x14ac:dyDescent="0.3">
      <c r="A62" s="6" t="s">
        <v>1089</v>
      </c>
      <c r="B62" s="6" t="s">
        <v>195</v>
      </c>
      <c r="C62" s="48" t="s">
        <v>52</v>
      </c>
      <c r="D62" s="6" t="s">
        <v>953</v>
      </c>
      <c r="E62" s="7" t="s">
        <v>949</v>
      </c>
      <c r="F62" s="7" t="s">
        <v>52</v>
      </c>
      <c r="G62" s="12" t="s">
        <v>950</v>
      </c>
      <c r="H62" s="44"/>
      <c r="I62" s="44">
        <v>473.87</v>
      </c>
      <c r="J62" s="12" t="s">
        <v>182</v>
      </c>
      <c r="K62" s="7"/>
      <c r="L62" s="7">
        <v>241928</v>
      </c>
      <c r="M62" s="7" t="s">
        <v>362</v>
      </c>
      <c r="N62" s="50"/>
    </row>
    <row r="63" spans="1:19" x14ac:dyDescent="0.3">
      <c r="A63" s="6" t="s">
        <v>1091</v>
      </c>
      <c r="B63" s="6" t="s">
        <v>195</v>
      </c>
      <c r="C63" s="48" t="s">
        <v>52</v>
      </c>
      <c r="D63" s="6" t="s">
        <v>953</v>
      </c>
      <c r="E63" s="7" t="s">
        <v>949</v>
      </c>
      <c r="F63" s="7" t="s">
        <v>52</v>
      </c>
      <c r="G63" s="12" t="s">
        <v>950</v>
      </c>
      <c r="H63" s="44"/>
      <c r="I63" s="44">
        <v>450.85</v>
      </c>
      <c r="J63" s="12" t="s">
        <v>182</v>
      </c>
      <c r="K63" s="7"/>
      <c r="L63" s="7">
        <v>241928</v>
      </c>
      <c r="M63" s="7" t="s">
        <v>362</v>
      </c>
      <c r="N63" s="50"/>
    </row>
    <row r="64" spans="1:19" x14ac:dyDescent="0.3">
      <c r="A64" s="6" t="s">
        <v>1090</v>
      </c>
      <c r="B64" s="6" t="s">
        <v>195</v>
      </c>
      <c r="C64" s="48" t="s">
        <v>52</v>
      </c>
      <c r="D64" s="6" t="s">
        <v>953</v>
      </c>
      <c r="E64" s="7" t="s">
        <v>949</v>
      </c>
      <c r="F64" s="7" t="s">
        <v>52</v>
      </c>
      <c r="G64" s="12" t="s">
        <v>950</v>
      </c>
      <c r="H64" s="44"/>
      <c r="I64" s="44">
        <v>409.7</v>
      </c>
      <c r="J64" s="12" t="s">
        <v>182</v>
      </c>
      <c r="K64" s="7"/>
      <c r="L64" s="7">
        <v>241928</v>
      </c>
      <c r="M64" s="7" t="s">
        <v>362</v>
      </c>
      <c r="N64" s="50"/>
    </row>
    <row r="65" spans="1:19" x14ac:dyDescent="0.3">
      <c r="A65" s="6" t="s">
        <v>1164</v>
      </c>
      <c r="B65" s="6" t="s">
        <v>195</v>
      </c>
      <c r="C65" s="48" t="s">
        <v>52</v>
      </c>
      <c r="D65" s="6" t="s">
        <v>961</v>
      </c>
      <c r="E65" s="7" t="s">
        <v>949</v>
      </c>
      <c r="F65" s="7" t="s">
        <v>52</v>
      </c>
      <c r="G65" s="12" t="s">
        <v>950</v>
      </c>
      <c r="H65" s="44"/>
      <c r="I65" s="44">
        <v>263.52999999999997</v>
      </c>
      <c r="J65" s="12" t="s">
        <v>182</v>
      </c>
      <c r="K65" s="7"/>
      <c r="L65" s="7">
        <v>242315</v>
      </c>
      <c r="M65" s="7" t="s">
        <v>362</v>
      </c>
      <c r="N65" s="50"/>
    </row>
    <row r="66" spans="1:19" x14ac:dyDescent="0.3">
      <c r="A66" s="6" t="s">
        <v>1165</v>
      </c>
      <c r="B66" s="6" t="s">
        <v>195</v>
      </c>
      <c r="C66" s="48" t="s">
        <v>52</v>
      </c>
      <c r="D66" s="6" t="s">
        <v>961</v>
      </c>
      <c r="E66" s="7" t="s">
        <v>949</v>
      </c>
      <c r="F66" s="7" t="s">
        <v>52</v>
      </c>
      <c r="G66" s="12" t="s">
        <v>950</v>
      </c>
      <c r="H66" s="44"/>
      <c r="I66" s="44">
        <v>396.83</v>
      </c>
      <c r="J66" s="12" t="s">
        <v>182</v>
      </c>
      <c r="K66" s="7"/>
      <c r="L66" s="7">
        <v>242315</v>
      </c>
      <c r="M66" s="7" t="s">
        <v>362</v>
      </c>
      <c r="N66" s="50"/>
    </row>
    <row r="67" spans="1:19" x14ac:dyDescent="0.3">
      <c r="A67" s="6" t="s">
        <v>1187</v>
      </c>
      <c r="B67" s="6" t="s">
        <v>195</v>
      </c>
      <c r="C67" s="48" t="s">
        <v>52</v>
      </c>
      <c r="D67" s="6" t="s">
        <v>961</v>
      </c>
      <c r="E67" s="7" t="s">
        <v>949</v>
      </c>
      <c r="F67" s="7" t="s">
        <v>52</v>
      </c>
      <c r="G67" s="12" t="s">
        <v>950</v>
      </c>
      <c r="H67" s="44"/>
      <c r="I67" s="44">
        <v>486.76</v>
      </c>
      <c r="J67" s="12" t="s">
        <v>182</v>
      </c>
      <c r="K67" s="7"/>
      <c r="L67" s="7">
        <v>242794</v>
      </c>
      <c r="M67" s="7" t="s">
        <v>362</v>
      </c>
      <c r="N67" s="50"/>
    </row>
    <row r="68" spans="1:19" x14ac:dyDescent="0.3">
      <c r="A68" s="6"/>
      <c r="B68" s="6"/>
      <c r="C68" s="48"/>
      <c r="D68" s="6"/>
      <c r="E68" s="7"/>
      <c r="F68" s="7"/>
      <c r="G68" s="12"/>
      <c r="H68" s="44"/>
      <c r="I68" s="44"/>
      <c r="J68" s="12"/>
      <c r="K68" s="7"/>
      <c r="L68" s="7"/>
      <c r="M68" s="7"/>
      <c r="N68" s="50"/>
    </row>
    <row r="69" spans="1:19" x14ac:dyDescent="0.3">
      <c r="A69" s="6"/>
      <c r="B69" s="6"/>
      <c r="C69" s="43"/>
      <c r="D69" s="6"/>
      <c r="E69" s="7"/>
      <c r="F69" s="7"/>
      <c r="G69" s="12"/>
      <c r="H69" s="13"/>
      <c r="I69" s="13"/>
      <c r="J69" s="12"/>
      <c r="K69" s="15"/>
      <c r="L69" s="7"/>
      <c r="M69" s="7"/>
      <c r="N69" s="45"/>
      <c r="S69" s="2"/>
    </row>
    <row r="70" spans="1:19" x14ac:dyDescent="0.3">
      <c r="A70" s="6" t="s">
        <v>964</v>
      </c>
      <c r="B70" s="6" t="s">
        <v>379</v>
      </c>
      <c r="C70" s="43">
        <v>2</v>
      </c>
      <c r="D70" s="6" t="s">
        <v>965</v>
      </c>
      <c r="E70" s="7" t="s">
        <v>962</v>
      </c>
      <c r="F70" s="7">
        <v>22100310</v>
      </c>
      <c r="G70" s="12" t="s">
        <v>963</v>
      </c>
      <c r="H70" s="13">
        <f>25990.4-25990.4</f>
        <v>0</v>
      </c>
      <c r="I70" s="13">
        <v>25990.400000000001</v>
      </c>
      <c r="J70" s="12" t="s">
        <v>966</v>
      </c>
      <c r="K70" s="15"/>
      <c r="L70" s="7">
        <v>242221</v>
      </c>
      <c r="M70" s="7" t="s">
        <v>362</v>
      </c>
      <c r="N70" s="45"/>
      <c r="S70" s="2"/>
    </row>
    <row r="71" spans="1:19" x14ac:dyDescent="0.3">
      <c r="A71" s="6"/>
      <c r="B71" s="6"/>
      <c r="C71" s="43"/>
      <c r="D71" s="6"/>
      <c r="E71" s="7" t="s">
        <v>962</v>
      </c>
      <c r="F71" s="7"/>
      <c r="G71" s="12"/>
      <c r="H71" s="13"/>
      <c r="I71" s="13"/>
      <c r="J71" s="12"/>
      <c r="K71" s="15"/>
      <c r="L71" s="7"/>
      <c r="M71" s="7"/>
      <c r="N71" s="45"/>
      <c r="S71" s="2"/>
    </row>
    <row r="72" spans="1:19" x14ac:dyDescent="0.3">
      <c r="A72" s="6"/>
      <c r="B72" s="6"/>
      <c r="C72" s="43"/>
      <c r="D72" s="6"/>
      <c r="E72" s="7"/>
      <c r="F72" s="7"/>
      <c r="G72" s="12"/>
      <c r="H72" s="13"/>
      <c r="I72" s="13"/>
      <c r="J72" s="12"/>
      <c r="K72" s="15"/>
      <c r="L72" s="7"/>
      <c r="M72" s="7"/>
      <c r="N72" s="45"/>
      <c r="S72" s="2"/>
    </row>
    <row r="73" spans="1:19" x14ac:dyDescent="0.3">
      <c r="A73" s="6"/>
      <c r="B73" s="6"/>
      <c r="C73" s="43"/>
      <c r="D73" s="6"/>
      <c r="E73" s="7"/>
      <c r="F73" s="7"/>
      <c r="G73" s="12"/>
      <c r="H73" s="13"/>
      <c r="I73" s="13"/>
      <c r="J73" s="12"/>
      <c r="K73" s="15"/>
      <c r="L73" s="7"/>
      <c r="M73" s="7"/>
      <c r="N73" s="45"/>
      <c r="S73" s="2"/>
    </row>
    <row r="74" spans="1:19" x14ac:dyDescent="0.3">
      <c r="A74" s="6" t="s">
        <v>967</v>
      </c>
      <c r="B74" s="6" t="s">
        <v>195</v>
      </c>
      <c r="C74" s="43"/>
      <c r="D74" s="6" t="s">
        <v>969</v>
      </c>
      <c r="E74" s="7" t="s">
        <v>970</v>
      </c>
      <c r="F74" s="7">
        <v>22100321</v>
      </c>
      <c r="G74" s="12" t="s">
        <v>968</v>
      </c>
      <c r="H74" s="13">
        <f>4995+13313.75+11540.4-577-1340-770-11540-13313.75-0.4-2308</f>
        <v>0</v>
      </c>
      <c r="I74" s="13">
        <f>577+1340+770+11540+13313.75+0.4</f>
        <v>27541.15</v>
      </c>
      <c r="J74" s="12" t="s">
        <v>182</v>
      </c>
      <c r="K74" s="15"/>
      <c r="L74" s="7">
        <v>242819</v>
      </c>
      <c r="M74" s="7" t="s">
        <v>362</v>
      </c>
      <c r="N74" s="45"/>
      <c r="S74" s="2"/>
    </row>
    <row r="75" spans="1:19" x14ac:dyDescent="0.3">
      <c r="A75" s="6"/>
      <c r="B75" s="6"/>
      <c r="C75" s="43"/>
      <c r="D75" s="6"/>
      <c r="E75" s="7"/>
      <c r="F75" s="7"/>
      <c r="G75" s="12"/>
      <c r="H75" s="13"/>
      <c r="I75" s="13"/>
      <c r="J75" s="12"/>
      <c r="K75" s="15"/>
      <c r="L75" s="7"/>
      <c r="M75" s="7"/>
      <c r="N75" s="45"/>
      <c r="S75" s="2"/>
    </row>
    <row r="76" spans="1:19" x14ac:dyDescent="0.3">
      <c r="A76" s="6"/>
      <c r="B76" s="6"/>
      <c r="C76" s="43"/>
      <c r="D76" s="6"/>
      <c r="E76" s="7"/>
      <c r="F76" s="7"/>
      <c r="G76" s="12"/>
      <c r="H76" s="13"/>
      <c r="I76" s="13"/>
      <c r="J76" s="12"/>
      <c r="K76" s="15"/>
      <c r="L76" s="7"/>
      <c r="M76" s="7"/>
      <c r="N76" s="45"/>
      <c r="S76" s="2"/>
    </row>
    <row r="77" spans="1:19" x14ac:dyDescent="0.3">
      <c r="A77" s="6" t="s">
        <v>975</v>
      </c>
      <c r="B77" s="6" t="s">
        <v>195</v>
      </c>
      <c r="C77" s="43"/>
      <c r="D77" s="6" t="s">
        <v>1008</v>
      </c>
      <c r="E77" s="7" t="s">
        <v>971</v>
      </c>
      <c r="F77" s="7">
        <v>22100308</v>
      </c>
      <c r="G77" s="12" t="s">
        <v>972</v>
      </c>
      <c r="H77" s="13">
        <f>30000+9588.17-39588.17</f>
        <v>0</v>
      </c>
      <c r="I77" s="13">
        <v>39588.17</v>
      </c>
      <c r="J77" s="12" t="s">
        <v>182</v>
      </c>
      <c r="K77" s="15"/>
      <c r="L77" s="7">
        <v>241770</v>
      </c>
      <c r="M77" s="7" t="s">
        <v>362</v>
      </c>
      <c r="N77" s="45"/>
    </row>
    <row r="78" spans="1:19" x14ac:dyDescent="0.3">
      <c r="A78" s="6" t="s">
        <v>974</v>
      </c>
      <c r="B78" s="6" t="s">
        <v>195</v>
      </c>
      <c r="C78" s="43"/>
      <c r="D78" s="6" t="s">
        <v>1012</v>
      </c>
      <c r="E78" s="7" t="s">
        <v>971</v>
      </c>
      <c r="F78" s="7">
        <v>22100311</v>
      </c>
      <c r="G78" s="12" t="s">
        <v>973</v>
      </c>
      <c r="H78" s="13">
        <f>4627.5-4627.5</f>
        <v>0</v>
      </c>
      <c r="I78" s="13">
        <v>4627.5</v>
      </c>
      <c r="J78" s="12" t="s">
        <v>182</v>
      </c>
      <c r="K78" s="15"/>
      <c r="L78" s="7">
        <v>243272</v>
      </c>
      <c r="M78" s="7" t="s">
        <v>362</v>
      </c>
      <c r="N78" s="45"/>
    </row>
    <row r="79" spans="1:19" x14ac:dyDescent="0.3">
      <c r="A79" s="6" t="s">
        <v>1011</v>
      </c>
      <c r="B79" s="6" t="s">
        <v>195</v>
      </c>
      <c r="C79" s="43"/>
      <c r="D79" s="6" t="s">
        <v>1010</v>
      </c>
      <c r="E79" s="7" t="s">
        <v>971</v>
      </c>
      <c r="F79" s="7">
        <v>22100337</v>
      </c>
      <c r="G79" s="12" t="s">
        <v>1009</v>
      </c>
      <c r="H79" s="13">
        <f>41450-41450</f>
        <v>0</v>
      </c>
      <c r="I79" s="13">
        <v>41450</v>
      </c>
      <c r="J79" s="12" t="s">
        <v>182</v>
      </c>
      <c r="K79" s="15"/>
      <c r="L79" s="7">
        <v>241927</v>
      </c>
      <c r="M79" s="7" t="s">
        <v>362</v>
      </c>
      <c r="N79" s="45"/>
    </row>
    <row r="80" spans="1:19" x14ac:dyDescent="0.3">
      <c r="A80" s="6" t="s">
        <v>1017</v>
      </c>
      <c r="B80" s="6" t="s">
        <v>195</v>
      </c>
      <c r="C80" s="43"/>
      <c r="D80" s="6" t="s">
        <v>1018</v>
      </c>
      <c r="E80" s="7" t="s">
        <v>971</v>
      </c>
      <c r="F80" s="7">
        <v>22100347</v>
      </c>
      <c r="G80" s="12" t="s">
        <v>1016</v>
      </c>
      <c r="H80" s="13">
        <f>7904-7904</f>
        <v>0</v>
      </c>
      <c r="I80" s="13">
        <v>7904</v>
      </c>
      <c r="J80" s="12" t="s">
        <v>182</v>
      </c>
      <c r="K80" s="15"/>
      <c r="L80" s="7">
        <v>242484</v>
      </c>
      <c r="M80" s="7" t="s">
        <v>362</v>
      </c>
      <c r="N80" s="45"/>
    </row>
    <row r="81" spans="1:19" x14ac:dyDescent="0.3">
      <c r="A81" s="6" t="s">
        <v>1020</v>
      </c>
      <c r="B81" s="6" t="s">
        <v>195</v>
      </c>
      <c r="C81" s="43"/>
      <c r="D81" s="6" t="s">
        <v>1021</v>
      </c>
      <c r="E81" s="7" t="s">
        <v>971</v>
      </c>
      <c r="F81" s="7">
        <v>22100363</v>
      </c>
      <c r="G81" s="12" t="s">
        <v>1019</v>
      </c>
      <c r="H81" s="13">
        <f>18000-14813.88-3186.12</f>
        <v>0</v>
      </c>
      <c r="I81" s="13">
        <v>14813.88</v>
      </c>
      <c r="J81" s="12" t="s">
        <v>182</v>
      </c>
      <c r="K81" s="15"/>
      <c r="L81" s="7">
        <v>242440</v>
      </c>
      <c r="M81" s="7" t="s">
        <v>362</v>
      </c>
      <c r="N81" s="45"/>
    </row>
    <row r="82" spans="1:19" x14ac:dyDescent="0.3">
      <c r="A82" s="6" t="s">
        <v>1167</v>
      </c>
      <c r="B82" s="6" t="s">
        <v>195</v>
      </c>
      <c r="C82" s="43"/>
      <c r="D82" s="6" t="s">
        <v>1168</v>
      </c>
      <c r="E82" s="7" t="s">
        <v>971</v>
      </c>
      <c r="F82" s="7">
        <v>22100459</v>
      </c>
      <c r="G82" s="12" t="s">
        <v>1166</v>
      </c>
      <c r="H82" s="13">
        <f>23744+575-24319</f>
        <v>0</v>
      </c>
      <c r="I82" s="13">
        <v>24319</v>
      </c>
      <c r="J82" s="12" t="s">
        <v>182</v>
      </c>
      <c r="K82" s="15"/>
      <c r="L82" s="7">
        <v>242855</v>
      </c>
      <c r="M82" s="7" t="s">
        <v>362</v>
      </c>
      <c r="N82" s="45"/>
    </row>
    <row r="83" spans="1:19" x14ac:dyDescent="0.3">
      <c r="A83" s="6" t="s">
        <v>1171</v>
      </c>
      <c r="B83" s="6" t="s">
        <v>195</v>
      </c>
      <c r="C83" s="43"/>
      <c r="D83" s="6" t="s">
        <v>1170</v>
      </c>
      <c r="E83" s="7" t="s">
        <v>971</v>
      </c>
      <c r="F83" s="7" t="s">
        <v>52</v>
      </c>
      <c r="G83" s="12" t="s">
        <v>1169</v>
      </c>
      <c r="H83" s="13"/>
      <c r="I83" s="44">
        <v>2508</v>
      </c>
      <c r="J83" s="12" t="s">
        <v>182</v>
      </c>
      <c r="K83" s="7"/>
      <c r="L83" s="7">
        <v>242380</v>
      </c>
      <c r="M83" s="7" t="s">
        <v>362</v>
      </c>
      <c r="N83" s="45"/>
      <c r="S83" s="2"/>
    </row>
    <row r="84" spans="1:19" x14ac:dyDescent="0.3">
      <c r="A84" s="6" t="s">
        <v>1172</v>
      </c>
      <c r="B84" s="6" t="s">
        <v>195</v>
      </c>
      <c r="C84" s="43"/>
      <c r="D84" s="6" t="s">
        <v>1173</v>
      </c>
      <c r="E84" s="7" t="s">
        <v>971</v>
      </c>
      <c r="F84" s="7" t="s">
        <v>52</v>
      </c>
      <c r="G84" s="12" t="s">
        <v>1169</v>
      </c>
      <c r="H84" s="13"/>
      <c r="I84" s="44">
        <v>2855</v>
      </c>
      <c r="J84" s="12" t="s">
        <v>182</v>
      </c>
      <c r="K84" s="7"/>
      <c r="L84" s="7">
        <v>242380</v>
      </c>
      <c r="M84" s="7" t="s">
        <v>362</v>
      </c>
      <c r="N84" s="45"/>
      <c r="S84" s="2"/>
    </row>
    <row r="85" spans="1:19" x14ac:dyDescent="0.3">
      <c r="A85" s="6" t="s">
        <v>1098</v>
      </c>
      <c r="B85" s="6" t="s">
        <v>161</v>
      </c>
      <c r="C85" s="43"/>
      <c r="D85" s="6" t="s">
        <v>1010</v>
      </c>
      <c r="E85" s="7" t="s">
        <v>971</v>
      </c>
      <c r="F85" s="7" t="s">
        <v>52</v>
      </c>
      <c r="G85" s="12" t="s">
        <v>1097</v>
      </c>
      <c r="H85" s="13"/>
      <c r="I85" s="44">
        <v>240</v>
      </c>
      <c r="J85" s="12" t="s">
        <v>182</v>
      </c>
      <c r="K85" s="7"/>
      <c r="L85" s="7">
        <v>241960</v>
      </c>
      <c r="M85" s="7" t="s">
        <v>362</v>
      </c>
      <c r="N85" s="45"/>
      <c r="S85" s="2"/>
    </row>
    <row r="86" spans="1:19" x14ac:dyDescent="0.3">
      <c r="A86" s="6" t="s">
        <v>1078</v>
      </c>
      <c r="B86" s="6" t="s">
        <v>161</v>
      </c>
      <c r="C86" s="43"/>
      <c r="D86" s="6" t="s">
        <v>1079</v>
      </c>
      <c r="E86" s="7" t="s">
        <v>971</v>
      </c>
      <c r="F86" s="7" t="s">
        <v>52</v>
      </c>
      <c r="G86" s="12" t="s">
        <v>169</v>
      </c>
      <c r="H86" s="13"/>
      <c r="I86" s="44">
        <v>94.85</v>
      </c>
      <c r="J86" s="12" t="s">
        <v>1077</v>
      </c>
      <c r="K86" s="7"/>
      <c r="L86" s="7" t="s">
        <v>168</v>
      </c>
      <c r="M86" s="7" t="s">
        <v>362</v>
      </c>
      <c r="N86" s="45"/>
      <c r="S86" s="2"/>
    </row>
    <row r="87" spans="1:19" x14ac:dyDescent="0.3">
      <c r="A87" s="6" t="s">
        <v>1072</v>
      </c>
      <c r="B87" s="6" t="s">
        <v>195</v>
      </c>
      <c r="C87" s="43"/>
      <c r="D87" s="6" t="s">
        <v>1073</v>
      </c>
      <c r="E87" s="7" t="s">
        <v>971</v>
      </c>
      <c r="F87" s="7" t="s">
        <v>52</v>
      </c>
      <c r="G87" s="12" t="s">
        <v>1074</v>
      </c>
      <c r="H87" s="13"/>
      <c r="I87" s="44">
        <v>1201.95</v>
      </c>
      <c r="J87" s="12" t="s">
        <v>182</v>
      </c>
      <c r="K87" s="7"/>
      <c r="L87" s="7" t="s">
        <v>168</v>
      </c>
      <c r="M87" s="7" t="s">
        <v>362</v>
      </c>
      <c r="N87" s="45"/>
      <c r="S87" s="2"/>
    </row>
    <row r="88" spans="1:19" x14ac:dyDescent="0.3">
      <c r="A88" s="6" t="s">
        <v>1075</v>
      </c>
      <c r="B88" s="6" t="s">
        <v>195</v>
      </c>
      <c r="C88" s="43"/>
      <c r="D88" s="6" t="s">
        <v>1076</v>
      </c>
      <c r="E88" s="7" t="s">
        <v>971</v>
      </c>
      <c r="F88" s="7" t="s">
        <v>52</v>
      </c>
      <c r="G88" s="12" t="s">
        <v>1074</v>
      </c>
      <c r="H88" s="13"/>
      <c r="I88" s="44">
        <v>1213</v>
      </c>
      <c r="J88" s="12" t="s">
        <v>182</v>
      </c>
      <c r="K88" s="7"/>
      <c r="L88" s="7" t="s">
        <v>168</v>
      </c>
      <c r="M88" s="7" t="s">
        <v>362</v>
      </c>
      <c r="N88" s="45"/>
      <c r="S88" s="2"/>
    </row>
    <row r="89" spans="1:19" x14ac:dyDescent="0.3">
      <c r="A89" s="6" t="s">
        <v>1188</v>
      </c>
      <c r="B89" s="6" t="s">
        <v>195</v>
      </c>
      <c r="C89" s="43"/>
      <c r="D89" s="6" t="s">
        <v>1179</v>
      </c>
      <c r="E89" s="7" t="s">
        <v>971</v>
      </c>
      <c r="F89" s="7" t="s">
        <v>52</v>
      </c>
      <c r="G89" s="12" t="s">
        <v>1178</v>
      </c>
      <c r="H89" s="13"/>
      <c r="I89" s="44">
        <v>621.09</v>
      </c>
      <c r="J89" s="12" t="s">
        <v>182</v>
      </c>
      <c r="K89" s="7"/>
      <c r="L89" s="7">
        <v>242574</v>
      </c>
      <c r="M89" s="7" t="s">
        <v>362</v>
      </c>
      <c r="N89" s="45"/>
      <c r="S89" s="2"/>
    </row>
    <row r="90" spans="1:19" x14ac:dyDescent="0.3">
      <c r="A90" s="6" t="s">
        <v>1189</v>
      </c>
      <c r="B90" s="6" t="s">
        <v>195</v>
      </c>
      <c r="C90" s="43"/>
      <c r="D90" s="6" t="s">
        <v>1179</v>
      </c>
      <c r="E90" s="7" t="s">
        <v>971</v>
      </c>
      <c r="F90" s="7" t="s">
        <v>52</v>
      </c>
      <c r="G90" s="12" t="s">
        <v>1178</v>
      </c>
      <c r="H90" s="13"/>
      <c r="I90" s="44">
        <v>325.31</v>
      </c>
      <c r="J90" s="12" t="s">
        <v>182</v>
      </c>
      <c r="K90" s="7"/>
      <c r="L90" s="7">
        <v>242668</v>
      </c>
      <c r="M90" s="7" t="s">
        <v>362</v>
      </c>
      <c r="N90" s="45"/>
      <c r="S90" s="2"/>
    </row>
    <row r="91" spans="1:19" x14ac:dyDescent="0.3">
      <c r="A91" s="6" t="s">
        <v>1190</v>
      </c>
      <c r="B91" s="6" t="s">
        <v>195</v>
      </c>
      <c r="C91" s="43"/>
      <c r="D91" s="6" t="s">
        <v>1179</v>
      </c>
      <c r="E91" s="7" t="s">
        <v>971</v>
      </c>
      <c r="F91" s="7"/>
      <c r="G91" s="12" t="s">
        <v>1019</v>
      </c>
      <c r="H91" s="13"/>
      <c r="I91" s="13">
        <v>281</v>
      </c>
      <c r="J91" s="12" t="s">
        <v>182</v>
      </c>
      <c r="K91" s="15"/>
      <c r="L91" s="7">
        <v>242709</v>
      </c>
      <c r="M91" s="7" t="s">
        <v>362</v>
      </c>
      <c r="N91" s="45"/>
    </row>
    <row r="92" spans="1:19" x14ac:dyDescent="0.3">
      <c r="A92" s="6" t="s">
        <v>1198</v>
      </c>
      <c r="B92" s="6" t="s">
        <v>195</v>
      </c>
      <c r="C92" s="43"/>
      <c r="D92" s="6" t="s">
        <v>1179</v>
      </c>
      <c r="E92" s="7" t="s">
        <v>971</v>
      </c>
      <c r="F92" s="7"/>
      <c r="G92" s="12" t="s">
        <v>1178</v>
      </c>
      <c r="H92" s="13"/>
      <c r="I92" s="13">
        <v>399.05</v>
      </c>
      <c r="J92" s="12" t="s">
        <v>182</v>
      </c>
      <c r="K92" s="15"/>
      <c r="L92" s="7">
        <v>242840</v>
      </c>
      <c r="M92" s="7" t="s">
        <v>450</v>
      </c>
      <c r="N92" s="45"/>
    </row>
    <row r="93" spans="1:19" x14ac:dyDescent="0.3">
      <c r="A93" s="6"/>
      <c r="B93" s="6"/>
      <c r="C93" s="43"/>
      <c r="D93" s="6"/>
      <c r="E93" s="7"/>
      <c r="F93" s="7"/>
      <c r="G93" s="12"/>
      <c r="H93" s="13"/>
      <c r="I93" s="44"/>
      <c r="J93" s="12"/>
      <c r="K93" s="7"/>
      <c r="L93" s="7"/>
      <c r="M93" s="7"/>
      <c r="N93" s="45"/>
      <c r="S93" s="2"/>
    </row>
    <row r="94" spans="1:19" x14ac:dyDescent="0.3">
      <c r="A94" s="6"/>
      <c r="B94" s="6"/>
      <c r="C94" s="43"/>
      <c r="D94" s="6"/>
      <c r="E94" s="7"/>
      <c r="F94" s="7"/>
      <c r="G94" s="12"/>
      <c r="H94" s="13"/>
      <c r="I94" s="13"/>
      <c r="J94" s="12"/>
      <c r="K94" s="15"/>
      <c r="L94" s="7"/>
      <c r="M94" s="7"/>
      <c r="N94" s="45"/>
    </row>
    <row r="95" spans="1:19" x14ac:dyDescent="0.3">
      <c r="A95" s="6" t="s">
        <v>1038</v>
      </c>
      <c r="B95" s="6" t="s">
        <v>161</v>
      </c>
      <c r="C95" s="43">
        <v>112</v>
      </c>
      <c r="D95" s="6" t="s">
        <v>1042</v>
      </c>
      <c r="E95" s="7" t="s">
        <v>1041</v>
      </c>
      <c r="F95" s="7" t="s">
        <v>52</v>
      </c>
      <c r="G95" s="12" t="s">
        <v>1039</v>
      </c>
      <c r="H95" s="13"/>
      <c r="I95" s="44">
        <v>1105.44</v>
      </c>
      <c r="J95" s="12" t="s">
        <v>1040</v>
      </c>
      <c r="K95" s="7"/>
      <c r="L95" s="7" t="s">
        <v>168</v>
      </c>
      <c r="M95" s="7" t="s">
        <v>362</v>
      </c>
      <c r="N95" s="45"/>
      <c r="S95" s="2"/>
    </row>
    <row r="96" spans="1:19" x14ac:dyDescent="0.3">
      <c r="A96" s="6" t="s">
        <v>1038</v>
      </c>
      <c r="B96" s="6" t="s">
        <v>161</v>
      </c>
      <c r="C96" s="43">
        <v>28</v>
      </c>
      <c r="D96" s="6" t="s">
        <v>1043</v>
      </c>
      <c r="E96" s="7" t="s">
        <v>1041</v>
      </c>
      <c r="F96" s="7" t="s">
        <v>52</v>
      </c>
      <c r="G96" s="12" t="s">
        <v>1044</v>
      </c>
      <c r="H96" s="13"/>
      <c r="I96" s="44">
        <v>1400</v>
      </c>
      <c r="J96" s="12" t="s">
        <v>1040</v>
      </c>
      <c r="K96" s="7"/>
      <c r="L96" s="7" t="s">
        <v>168</v>
      </c>
      <c r="M96" s="7" t="s">
        <v>362</v>
      </c>
      <c r="N96" s="45"/>
      <c r="S96" s="2"/>
    </row>
    <row r="97" spans="1:19" x14ac:dyDescent="0.3">
      <c r="A97" s="6" t="s">
        <v>1069</v>
      </c>
      <c r="B97" s="6" t="s">
        <v>161</v>
      </c>
      <c r="C97" s="43"/>
      <c r="D97" s="6" t="s">
        <v>1070</v>
      </c>
      <c r="E97" s="7" t="s">
        <v>1041</v>
      </c>
      <c r="F97" s="7">
        <v>22100354</v>
      </c>
      <c r="G97" s="12" t="s">
        <v>1068</v>
      </c>
      <c r="H97" s="13">
        <f>17845-17845</f>
        <v>0</v>
      </c>
      <c r="I97" s="13">
        <v>17845</v>
      </c>
      <c r="J97" s="12"/>
      <c r="K97" s="15"/>
      <c r="L97" s="7">
        <v>242322</v>
      </c>
      <c r="M97" s="7" t="s">
        <v>362</v>
      </c>
      <c r="N97" s="45"/>
    </row>
    <row r="98" spans="1:19" x14ac:dyDescent="0.3">
      <c r="A98" s="6" t="s">
        <v>1080</v>
      </c>
      <c r="B98" s="6" t="s">
        <v>161</v>
      </c>
      <c r="C98" s="43"/>
      <c r="D98" s="6" t="s">
        <v>1081</v>
      </c>
      <c r="E98" s="7" t="s">
        <v>1041</v>
      </c>
      <c r="F98" s="7" t="s">
        <v>52</v>
      </c>
      <c r="G98" s="12" t="s">
        <v>187</v>
      </c>
      <c r="H98" s="13"/>
      <c r="I98" s="44">
        <v>46.08</v>
      </c>
      <c r="J98" s="12" t="s">
        <v>1077</v>
      </c>
      <c r="K98" s="7"/>
      <c r="L98" s="7" t="s">
        <v>168</v>
      </c>
      <c r="M98" s="7" t="s">
        <v>362</v>
      </c>
      <c r="N98" s="45">
        <v>44246</v>
      </c>
      <c r="S98" s="2"/>
    </row>
    <row r="99" spans="1:19" x14ac:dyDescent="0.3">
      <c r="A99" s="6" t="s">
        <v>1046</v>
      </c>
      <c r="B99" s="6" t="s">
        <v>195</v>
      </c>
      <c r="C99" s="43">
        <v>1</v>
      </c>
      <c r="D99" s="6" t="s">
        <v>1047</v>
      </c>
      <c r="E99" s="7" t="s">
        <v>1041</v>
      </c>
      <c r="F99" s="7" t="s">
        <v>52</v>
      </c>
      <c r="G99" s="12" t="s">
        <v>1045</v>
      </c>
      <c r="H99" s="13"/>
      <c r="I99" s="44">
        <v>385</v>
      </c>
      <c r="J99" s="12" t="s">
        <v>182</v>
      </c>
      <c r="K99" s="7"/>
      <c r="L99" s="7" t="s">
        <v>168</v>
      </c>
      <c r="M99" s="7" t="s">
        <v>362</v>
      </c>
      <c r="N99" s="45">
        <v>44263</v>
      </c>
      <c r="S99" s="2"/>
    </row>
    <row r="100" spans="1:19" x14ac:dyDescent="0.3">
      <c r="A100" s="6"/>
      <c r="B100" s="6"/>
      <c r="C100" s="43"/>
      <c r="D100" s="6"/>
      <c r="E100" s="7"/>
      <c r="F100" s="7"/>
      <c r="G100" s="12"/>
      <c r="H100" s="13"/>
      <c r="I100" s="44"/>
      <c r="J100" s="12"/>
      <c r="K100" s="7"/>
      <c r="L100" s="7"/>
      <c r="M100" s="7"/>
      <c r="N100" s="45"/>
      <c r="S100" s="2"/>
    </row>
    <row r="101" spans="1:19" x14ac:dyDescent="0.3">
      <c r="A101" s="6" t="s">
        <v>1146</v>
      </c>
      <c r="B101" s="6" t="s">
        <v>379</v>
      </c>
      <c r="C101" s="43"/>
      <c r="D101" s="6" t="s">
        <v>1147</v>
      </c>
      <c r="E101" s="7" t="s">
        <v>1145</v>
      </c>
      <c r="F101" s="7" t="s">
        <v>52</v>
      </c>
      <c r="G101" s="12" t="s">
        <v>980</v>
      </c>
      <c r="H101" s="13"/>
      <c r="I101" s="44">
        <v>630</v>
      </c>
      <c r="J101" s="12" t="s">
        <v>1148</v>
      </c>
      <c r="K101" s="7"/>
      <c r="L101" s="7">
        <v>242185</v>
      </c>
      <c r="M101" s="7" t="s">
        <v>362</v>
      </c>
      <c r="N101" s="45">
        <v>44301</v>
      </c>
      <c r="S101" s="2"/>
    </row>
    <row r="102" spans="1:19" x14ac:dyDescent="0.3">
      <c r="A102" s="6"/>
      <c r="B102" s="6"/>
      <c r="C102" s="43"/>
      <c r="D102" s="6"/>
      <c r="E102" s="7"/>
      <c r="F102" s="7"/>
      <c r="G102" s="12"/>
      <c r="H102" s="13"/>
      <c r="I102" s="44"/>
      <c r="J102" s="12"/>
      <c r="K102" s="7"/>
      <c r="L102" s="7"/>
      <c r="M102" s="7"/>
      <c r="N102" s="45"/>
      <c r="S102" s="2"/>
    </row>
    <row r="103" spans="1:19" x14ac:dyDescent="0.3">
      <c r="A103" s="6" t="s">
        <v>1114</v>
      </c>
      <c r="B103" s="6" t="s">
        <v>195</v>
      </c>
      <c r="C103" s="43"/>
      <c r="D103" s="6" t="s">
        <v>1115</v>
      </c>
      <c r="E103" s="7" t="s">
        <v>1144</v>
      </c>
      <c r="F103" s="7">
        <v>22100096</v>
      </c>
      <c r="G103" s="12" t="s">
        <v>1113</v>
      </c>
      <c r="H103" s="13"/>
      <c r="I103" s="44">
        <v>2600</v>
      </c>
      <c r="J103" s="12" t="s">
        <v>1155</v>
      </c>
      <c r="K103" s="7"/>
      <c r="L103" s="7">
        <v>241763</v>
      </c>
      <c r="M103" s="7" t="s">
        <v>362</v>
      </c>
      <c r="N103" s="45" t="s">
        <v>1116</v>
      </c>
      <c r="S103" s="2"/>
    </row>
    <row r="104" spans="1:19" x14ac:dyDescent="0.3">
      <c r="A104" s="6"/>
      <c r="B104" s="6"/>
      <c r="C104" s="43"/>
      <c r="D104" s="6"/>
      <c r="E104" s="7"/>
      <c r="F104" s="7"/>
      <c r="G104" s="12"/>
      <c r="H104" s="13"/>
      <c r="I104" s="44"/>
      <c r="J104" s="12"/>
      <c r="K104" s="7"/>
      <c r="L104" s="7"/>
      <c r="M104" s="7"/>
      <c r="N104" s="45"/>
      <c r="S104" s="2"/>
    </row>
    <row r="105" spans="1:19" x14ac:dyDescent="0.3">
      <c r="A105" s="6"/>
      <c r="B105" s="6"/>
      <c r="C105" s="43"/>
      <c r="D105" s="6"/>
      <c r="E105" s="7"/>
      <c r="F105" s="7"/>
      <c r="G105" s="12"/>
      <c r="H105" s="13"/>
      <c r="I105" s="13"/>
      <c r="J105" s="12"/>
      <c r="K105" s="7"/>
      <c r="L105" s="7"/>
      <c r="M105" s="7"/>
    </row>
    <row r="106" spans="1:19" x14ac:dyDescent="0.3">
      <c r="H106" s="9">
        <f>SUM(H5:H105)</f>
        <v>0</v>
      </c>
      <c r="I106" s="9">
        <f>SUM(I5:I105)</f>
        <v>254351.06999999998</v>
      </c>
      <c r="L106" s="128" t="s">
        <v>548</v>
      </c>
      <c r="M106" s="129"/>
    </row>
    <row r="107" spans="1:19" x14ac:dyDescent="0.3">
      <c r="G107" s="47" t="s">
        <v>28</v>
      </c>
      <c r="H107" s="9">
        <v>0</v>
      </c>
      <c r="I107" s="9">
        <v>254351.07</v>
      </c>
    </row>
    <row r="108" spans="1:19" x14ac:dyDescent="0.3">
      <c r="G108" s="47" t="s">
        <v>303</v>
      </c>
      <c r="H108" s="9">
        <f>H107-H106</f>
        <v>0</v>
      </c>
      <c r="I108" s="9">
        <f>I107-I106</f>
        <v>0</v>
      </c>
    </row>
    <row r="109" spans="1:19" x14ac:dyDescent="0.3">
      <c r="J109" s="171"/>
      <c r="K109" s="172"/>
      <c r="L109" s="173" t="s">
        <v>1125</v>
      </c>
      <c r="M109" s="171"/>
      <c r="N109" s="171"/>
    </row>
    <row r="110" spans="1:19" x14ac:dyDescent="0.3">
      <c r="G110" s="8" t="s">
        <v>13</v>
      </c>
      <c r="H110" s="9">
        <f>SUMIF($B$5:$B105,"Fire Dept Adm",$H$5:$H105)</f>
        <v>0</v>
      </c>
      <c r="I110" s="9">
        <f>SUMIF($B$5:$B105,"Fire Dept Adm",$I$5:$I105)</f>
        <v>1012.3799999999999</v>
      </c>
      <c r="J110" s="174" t="s">
        <v>1109</v>
      </c>
      <c r="K110" s="172"/>
      <c r="L110" s="175">
        <f>1709.88+292.89</f>
        <v>2002.77</v>
      </c>
      <c r="M110" s="171"/>
      <c r="N110" s="171"/>
    </row>
    <row r="111" spans="1:19" x14ac:dyDescent="0.3">
      <c r="G111" s="8" t="s">
        <v>574</v>
      </c>
      <c r="H111" s="9">
        <f>SUMIF($B$5:$B$105,"OEM",$H$5:$H$105)</f>
        <v>0</v>
      </c>
      <c r="I111" s="9">
        <f>SUMIF($B$5:$B$105,"OEM",$I$5:$I$105)</f>
        <v>3884.97</v>
      </c>
      <c r="J111" s="174" t="s">
        <v>1117</v>
      </c>
      <c r="K111" s="172"/>
      <c r="L111" s="175">
        <f>1554.8</f>
        <v>1554.8</v>
      </c>
      <c r="M111" s="171"/>
      <c r="N111" s="171"/>
    </row>
    <row r="112" spans="1:19" x14ac:dyDescent="0.3">
      <c r="G112" s="8" t="s">
        <v>46</v>
      </c>
      <c r="H112" s="9">
        <f>SUMIF($B$5:$B$105,"Police",$H$5:$H$105)</f>
        <v>0</v>
      </c>
      <c r="I112" s="9">
        <f>SUMIF($B$5:$B$105,"Police",$I$5:$I$105)</f>
        <v>903.88000000000011</v>
      </c>
      <c r="J112" s="174" t="s">
        <v>1118</v>
      </c>
      <c r="K112" s="172"/>
      <c r="L112" s="175">
        <f>23543</f>
        <v>23543</v>
      </c>
      <c r="M112" s="171"/>
      <c r="N112" s="171"/>
    </row>
    <row r="113" spans="7:14" x14ac:dyDescent="0.3">
      <c r="G113" s="8" t="s">
        <v>195</v>
      </c>
      <c r="H113" s="9">
        <f>SUMIF($B$5:$B$105,"Public Works",$H$5:$H$105)</f>
        <v>0</v>
      </c>
      <c r="I113" s="9">
        <f>SUMIF($B$5:$B$105,"Public Works",$I$5:$I$105)</f>
        <v>191256.62</v>
      </c>
      <c r="J113" s="174" t="s">
        <v>1119</v>
      </c>
      <c r="K113" s="172"/>
      <c r="L113" s="175">
        <f>2037.42+3907.42</f>
        <v>5944.84</v>
      </c>
      <c r="M113" s="171"/>
      <c r="N113" s="171"/>
    </row>
    <row r="114" spans="7:14" x14ac:dyDescent="0.3">
      <c r="G114" s="8" t="s">
        <v>280</v>
      </c>
      <c r="H114" s="9">
        <f>SUMIF($B$5:$B$105,"Commun Dev",$H$5:$H$105)</f>
        <v>0</v>
      </c>
      <c r="I114" s="9">
        <f>SUMIF($B$5:$B$105,"Commun Dev",$I$5:$I$105)</f>
        <v>0</v>
      </c>
      <c r="J114" s="174" t="s">
        <v>1120</v>
      </c>
      <c r="K114" s="172"/>
      <c r="L114" s="175">
        <f>8084.75</f>
        <v>8084.75</v>
      </c>
      <c r="M114" s="171"/>
      <c r="N114" s="171"/>
    </row>
    <row r="115" spans="7:14" x14ac:dyDescent="0.3">
      <c r="G115" s="8" t="s">
        <v>161</v>
      </c>
      <c r="H115" s="9">
        <f>SUMIF($B$5:$B$105,"Parks &amp; Rec",$H$5:$H$105)</f>
        <v>0</v>
      </c>
      <c r="I115" s="9">
        <f>SUMIF($B$5:$B$105,"Parks &amp; Rec",$I$5:$I$105)</f>
        <v>29981.75</v>
      </c>
      <c r="J115" s="174" t="s">
        <v>1121</v>
      </c>
      <c r="K115" s="172"/>
      <c r="L115" s="175">
        <f>171.5</f>
        <v>171.5</v>
      </c>
      <c r="M115" s="171"/>
      <c r="N115" s="171"/>
    </row>
    <row r="116" spans="7:14" x14ac:dyDescent="0.3">
      <c r="G116" s="8" t="s">
        <v>293</v>
      </c>
      <c r="H116" s="9">
        <f>SUMIF($B$5:$B$105,"Library",$H$5:$H$105)</f>
        <v>0</v>
      </c>
      <c r="I116" s="9">
        <f>SUMIF($B$5:$B$105,"Library",$I$5:$I$105)</f>
        <v>384.86</v>
      </c>
      <c r="J116" s="174" t="s">
        <v>1122</v>
      </c>
      <c r="K116" s="172"/>
      <c r="L116" s="175">
        <f>4738.03</f>
        <v>4738.03</v>
      </c>
      <c r="M116" s="171"/>
      <c r="N116" s="171"/>
    </row>
    <row r="117" spans="7:14" x14ac:dyDescent="0.3">
      <c r="G117" s="8" t="s">
        <v>377</v>
      </c>
      <c r="H117" s="9">
        <f>SUMIF($B$5:$B$105,"Neighb Life",$H$5:$H$105)</f>
        <v>0</v>
      </c>
      <c r="I117" s="9">
        <f>SUMIF($B$5:$B$105,"Neighb Life",$I$5:$I$105)</f>
        <v>0</v>
      </c>
      <c r="J117" s="174" t="s">
        <v>1123</v>
      </c>
      <c r="K117" s="172"/>
      <c r="L117" s="175">
        <f>614.13</f>
        <v>614.13</v>
      </c>
      <c r="M117" s="171"/>
      <c r="N117" s="171"/>
    </row>
    <row r="118" spans="7:14" x14ac:dyDescent="0.3">
      <c r="G118" s="8" t="s">
        <v>310</v>
      </c>
      <c r="H118" s="9">
        <f>SUMIF($B$5:$B$105,"CM Office",$H$5:$H$105)</f>
        <v>0</v>
      </c>
      <c r="I118" s="9">
        <f>SUMIF($B$5:$B$105,"CM Office",$I$5:$I$105)</f>
        <v>0</v>
      </c>
      <c r="J118" s="174" t="s">
        <v>1107</v>
      </c>
      <c r="K118" s="172"/>
      <c r="L118" s="175">
        <f>868.9</f>
        <v>868.9</v>
      </c>
      <c r="M118" s="171"/>
      <c r="N118" s="171"/>
    </row>
    <row r="119" spans="7:14" x14ac:dyDescent="0.3">
      <c r="G119" s="8" t="s">
        <v>305</v>
      </c>
      <c r="H119" s="9">
        <f>SUMIF($B$5:$B$105,"Public Info",$H$5:$H$105)</f>
        <v>0</v>
      </c>
      <c r="I119" s="9">
        <f>SUMIF($B$5:$B$105,"Public Info",$I$5:$I$105)</f>
        <v>0</v>
      </c>
      <c r="J119" s="174" t="s">
        <v>1124</v>
      </c>
      <c r="K119" s="172"/>
      <c r="L119" s="175">
        <f>433</f>
        <v>433</v>
      </c>
      <c r="M119" s="171"/>
      <c r="N119" s="171"/>
    </row>
    <row r="120" spans="7:14" x14ac:dyDescent="0.3">
      <c r="G120" s="8" t="s">
        <v>212</v>
      </c>
      <c r="H120" s="9">
        <f>SUMIF($B$5:$B$105,"Court",$H$5:$H$105)</f>
        <v>0</v>
      </c>
      <c r="I120" s="9">
        <f>SUMIF($B$5:$B$105,"Court",$I$5:$I$105)</f>
        <v>0</v>
      </c>
      <c r="J120" s="174" t="s">
        <v>1126</v>
      </c>
      <c r="K120" s="172"/>
      <c r="L120" s="175">
        <f>3166+3713+7303+3663</f>
        <v>17845</v>
      </c>
      <c r="M120" s="171"/>
      <c r="N120" s="171"/>
    </row>
    <row r="121" spans="7:14" x14ac:dyDescent="0.3">
      <c r="G121" s="8" t="s">
        <v>379</v>
      </c>
      <c r="H121" s="9">
        <f>SUMIF($B$5:$B$105,"IT",$H$5:$H$105)</f>
        <v>0</v>
      </c>
      <c r="I121" s="9">
        <f>SUMIF($B$5:$B$105,"IT",$I$5:$I$105)</f>
        <v>26724.47</v>
      </c>
      <c r="J121" s="174" t="s">
        <v>1127</v>
      </c>
      <c r="K121" s="172"/>
      <c r="L121" s="175">
        <f>7361.85</f>
        <v>7361.85</v>
      </c>
      <c r="M121" s="171"/>
      <c r="N121" s="171"/>
    </row>
    <row r="122" spans="7:14" x14ac:dyDescent="0.3">
      <c r="G122" s="8" t="s">
        <v>1084</v>
      </c>
      <c r="H122" s="9">
        <f>SUMIF($B$5:$B$105,"Finance",$H$5:$H$105)</f>
        <v>0</v>
      </c>
      <c r="I122" s="9">
        <f>SUMIF($B$5:$B$105,"Finance",$I$5:$I$105)</f>
        <v>202.14</v>
      </c>
      <c r="J122" s="174" t="s">
        <v>1128</v>
      </c>
      <c r="K122" s="172"/>
      <c r="L122" s="175">
        <f>9290.4</f>
        <v>9290.4</v>
      </c>
      <c r="M122" s="171"/>
      <c r="N122" s="171"/>
    </row>
    <row r="123" spans="7:14" x14ac:dyDescent="0.3">
      <c r="G123" s="8" t="s">
        <v>647</v>
      </c>
      <c r="H123" s="9">
        <f>SUMIF($B$5:$B$105,"Econ Dev",$H$5:$H$105)</f>
        <v>0</v>
      </c>
      <c r="I123" s="9">
        <f>SUMIF($B$5:$B$105,"Econ Dev",$I$5:$I$105)</f>
        <v>0</v>
      </c>
      <c r="J123" s="174" t="s">
        <v>1129</v>
      </c>
      <c r="K123" s="172"/>
      <c r="L123" s="175">
        <f>2438.24</f>
        <v>2438.2399999999998</v>
      </c>
      <c r="M123" s="171"/>
      <c r="N123" s="171"/>
    </row>
    <row r="124" spans="7:14" x14ac:dyDescent="0.3">
      <c r="G124" s="56" t="s">
        <v>397</v>
      </c>
      <c r="H124" s="9">
        <f>SUMIF($B$5:$B$105,"Unknown at this time",$H$5:$H$105)</f>
        <v>0</v>
      </c>
      <c r="I124" s="9">
        <f>SUMIF($B$5:$B$105,"Unknown at this time",$I$5:$I$105)</f>
        <v>0</v>
      </c>
      <c r="J124" s="174" t="s">
        <v>1130</v>
      </c>
      <c r="K124" s="172"/>
      <c r="L124" s="175">
        <f>80963.27</f>
        <v>80963.27</v>
      </c>
      <c r="M124" s="171"/>
      <c r="N124" s="171"/>
    </row>
    <row r="125" spans="7:14" x14ac:dyDescent="0.3">
      <c r="G125" s="8" t="s">
        <v>378</v>
      </c>
      <c r="H125" s="9">
        <f>SUMIF($B$5:$B$105,"City-Wide",$H$5:$H$105)</f>
        <v>0</v>
      </c>
      <c r="I125" s="9">
        <f>SUMIF($B$5:$B$105,"City-Wide",$I$5:$I$105)</f>
        <v>0</v>
      </c>
      <c r="J125" s="174" t="s">
        <v>1131</v>
      </c>
      <c r="K125" s="172"/>
      <c r="L125" s="175">
        <f>240</f>
        <v>240</v>
      </c>
      <c r="M125" s="171"/>
      <c r="N125" s="171"/>
    </row>
    <row r="126" spans="7:14" x14ac:dyDescent="0.3">
      <c r="G126" s="8" t="s">
        <v>753</v>
      </c>
      <c r="H126" s="9">
        <f>SUMIF($B$5:$B$105,"Grant Rcls",$H$5:$H$105)</f>
        <v>0</v>
      </c>
      <c r="I126" s="9">
        <f>SUMIF($B$5:$B$105,"Grant Rcls",$I$5:$I$105)</f>
        <v>0</v>
      </c>
      <c r="J126" s="174" t="s">
        <v>1132</v>
      </c>
      <c r="K126" s="172"/>
      <c r="L126" s="175">
        <v>312.45</v>
      </c>
      <c r="M126" s="171"/>
      <c r="N126" s="171"/>
    </row>
    <row r="127" spans="7:14" x14ac:dyDescent="0.3">
      <c r="H127" s="51">
        <f>SUM(H110:H126)</f>
        <v>0</v>
      </c>
      <c r="I127" s="51">
        <f>SUM(I110:I126)</f>
        <v>254351.07</v>
      </c>
      <c r="J127" s="171"/>
      <c r="K127" s="172"/>
      <c r="L127" s="176">
        <f>SUM(L110:L126)</f>
        <v>166406.93000000002</v>
      </c>
      <c r="M127" s="171"/>
      <c r="N127" s="171"/>
    </row>
    <row r="128" spans="7:14" x14ac:dyDescent="0.3">
      <c r="H128" s="20">
        <f>H107-H127</f>
        <v>0</v>
      </c>
      <c r="I128" s="20">
        <f>I107-I127</f>
        <v>0</v>
      </c>
    </row>
    <row r="129" spans="1:19" x14ac:dyDescent="0.3">
      <c r="H129" s="20"/>
      <c r="I129" s="20"/>
    </row>
    <row r="130" spans="1:19" ht="9.75" customHeight="1" x14ac:dyDescent="0.3">
      <c r="A130" s="52"/>
      <c r="B130" s="52"/>
      <c r="C130" s="53"/>
      <c r="D130" s="52"/>
      <c r="E130" s="53"/>
      <c r="F130" s="53"/>
      <c r="G130" s="54"/>
      <c r="H130" s="55"/>
      <c r="I130" s="55"/>
      <c r="J130" s="52"/>
      <c r="K130" s="53"/>
      <c r="L130" s="53"/>
      <c r="M130" s="52"/>
      <c r="N130" s="52"/>
    </row>
    <row r="131" spans="1:19" x14ac:dyDescent="0.3">
      <c r="A131" s="57" t="s">
        <v>190</v>
      </c>
    </row>
    <row r="132" spans="1:19" x14ac:dyDescent="0.3">
      <c r="A132" s="6"/>
      <c r="B132" s="6" t="s">
        <v>195</v>
      </c>
      <c r="C132" s="43">
        <v>1</v>
      </c>
      <c r="D132" s="6"/>
      <c r="E132" s="7" t="s">
        <v>1143</v>
      </c>
      <c r="F132" s="7" t="s">
        <v>52</v>
      </c>
      <c r="G132" s="12"/>
      <c r="H132" s="13"/>
      <c r="I132" s="44">
        <v>0</v>
      </c>
      <c r="J132" s="12"/>
      <c r="K132" s="7"/>
      <c r="L132" s="7" t="s">
        <v>168</v>
      </c>
      <c r="M132" s="7"/>
      <c r="N132" s="45"/>
      <c r="S132" s="2"/>
    </row>
  </sheetData>
  <autoFilter ref="A4:S108" xr:uid="{6643C2E6-903E-450E-A16B-39C950B372EB}"/>
  <mergeCells count="3">
    <mergeCell ref="A1:D1"/>
    <mergeCell ref="A3:D3"/>
    <mergeCell ref="A5:C5"/>
  </mergeCells>
  <pageMargins left="0.25" right="0.25" top="1" bottom="0.75" header="0.3" footer="0.3"/>
  <pageSetup scale="52" fitToHeight="0" orientation="landscape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SUMMARY</vt:lpstr>
      <vt:lpstr>PayrollFY22</vt:lpstr>
      <vt:lpstr>PayrollFY21</vt:lpstr>
      <vt:lpstr>PayrollFY20</vt:lpstr>
      <vt:lpstr>PurchasingARPA22</vt:lpstr>
      <vt:lpstr>PurchasingCOVIDFY22</vt:lpstr>
      <vt:lpstr>PurchasingCOVIDFY21</vt:lpstr>
      <vt:lpstr>PurchasingVACCINEFY21</vt:lpstr>
      <vt:lpstr>PurchasingWinterStorm21</vt:lpstr>
      <vt:lpstr>PurchasingCOVIDFY20</vt:lpstr>
      <vt:lpstr>PurchasingPTR</vt:lpstr>
      <vt:lpstr>BW 7.14.21</vt:lpstr>
      <vt:lpstr>BWPR3.25.20</vt:lpstr>
      <vt:lpstr>ESICK</vt:lpstr>
      <vt:lpstr>ADMIN-COVID</vt:lpstr>
      <vt:lpstr>'BW 7.14.21'!Print_Area</vt:lpstr>
      <vt:lpstr>PurchasingARPA22!Print_Area</vt:lpstr>
      <vt:lpstr>PurchasingCOVIDFY20!Print_Area</vt:lpstr>
      <vt:lpstr>PurchasingCOVIDFY21!Print_Area</vt:lpstr>
      <vt:lpstr>PurchasingCOVIDFY22!Print_Area</vt:lpstr>
      <vt:lpstr>PurchasingVACCINEFY21!Print_Area</vt:lpstr>
      <vt:lpstr>PurchasingWinterStorm21!Print_Area</vt:lpstr>
      <vt:lpstr>'BW 7.14.21'!Print_Titles</vt:lpstr>
      <vt:lpstr>BWPR3.25.20!Print_Titles</vt:lpstr>
      <vt:lpstr>PurchasingARPA22!Print_Titles</vt:lpstr>
      <vt:lpstr>PurchasingCOVIDFY20!Print_Titles</vt:lpstr>
      <vt:lpstr>PurchasingCOVIDFY21!Print_Titles</vt:lpstr>
      <vt:lpstr>PurchasingCOVIDFY22!Print_Titles</vt:lpstr>
      <vt:lpstr>PurchasingVACCINEFY21!Print_Titles</vt:lpstr>
      <vt:lpstr>PurchasingWinterStorm21!Print_Titles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Badgett</dc:creator>
  <cp:lastModifiedBy>Eduardo Balderas</cp:lastModifiedBy>
  <cp:lastPrinted>2020-09-22T23:36:48Z</cp:lastPrinted>
  <dcterms:created xsi:type="dcterms:W3CDTF">2020-03-25T16:35:03Z</dcterms:created>
  <dcterms:modified xsi:type="dcterms:W3CDTF">2024-05-17T19:29:52Z</dcterms:modified>
</cp:coreProperties>
</file>